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1" documentId="8_{64C9FC0C-422A-4422-B17A-266CED6904FB}" xr6:coauthVersionLast="47" xr6:coauthVersionMax="47" xr10:uidLastSave="{1FD2ADAE-A56D-4293-A0EF-83F6499C1A4B}"/>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8" l="1"/>
  <c r="I12" i="8" s="1"/>
  <c r="Y151" i="2"/>
  <c r="Y149" i="2"/>
  <c r="Y39" i="2"/>
  <c r="Y53" i="2"/>
  <c r="Y170" i="2"/>
  <c r="Y126" i="2"/>
  <c r="Y55" i="2"/>
  <c r="Y8" i="2"/>
  <c r="H116" i="2"/>
  <c r="K70" i="2" l="1"/>
  <c r="J16" i="4"/>
  <c r="I7" i="4" l="1"/>
  <c r="I8" i="4"/>
  <c r="I9" i="4"/>
  <c r="I10" i="4"/>
  <c r="I11" i="4"/>
  <c r="I12" i="4"/>
  <c r="I13" i="4"/>
  <c r="I14" i="4"/>
  <c r="I15" i="4"/>
  <c r="I6" i="4"/>
  <c r="D16" i="4"/>
  <c r="E16" i="4"/>
  <c r="F16" i="4"/>
  <c r="G16" i="4"/>
  <c r="H16" i="4"/>
  <c r="C16" i="4"/>
  <c r="B77" i="8"/>
  <c r="J77" i="8"/>
  <c r="U77" i="8"/>
  <c r="T77" i="8"/>
  <c r="S77" i="8"/>
  <c r="R77" i="8"/>
  <c r="Q77" i="8"/>
  <c r="P77" i="8"/>
  <c r="O77" i="8"/>
  <c r="N77" i="8"/>
  <c r="M77" i="8"/>
  <c r="L77" i="8"/>
  <c r="K54" i="8"/>
  <c r="I54" i="8" s="1"/>
  <c r="K71" i="8"/>
  <c r="I71" i="8" s="1"/>
  <c r="K47" i="8"/>
  <c r="K76" i="8"/>
  <c r="K38" i="8"/>
  <c r="I38" i="8" s="1"/>
  <c r="K6" i="8"/>
  <c r="I6" i="8" s="1"/>
  <c r="K60" i="8"/>
  <c r="I60" i="8" s="1"/>
  <c r="K5" i="8"/>
  <c r="I5" i="8" s="1"/>
  <c r="K59" i="8"/>
  <c r="I59" i="8" s="1"/>
  <c r="K31" i="8"/>
  <c r="I31" i="8" s="1"/>
  <c r="K70" i="8"/>
  <c r="I70" i="8" s="1"/>
  <c r="K63" i="8"/>
  <c r="K37" i="8"/>
  <c r="I37" i="8" s="1"/>
  <c r="K46" i="8"/>
  <c r="I46" i="8" s="1"/>
  <c r="K49" i="8"/>
  <c r="I49" i="8" s="1"/>
  <c r="K4" i="8"/>
  <c r="I4" i="8" s="1"/>
  <c r="K50" i="8"/>
  <c r="I50" i="8" s="1"/>
  <c r="K15" i="8"/>
  <c r="I15" i="8" s="1"/>
  <c r="K53" i="8"/>
  <c r="I53" i="8" s="1"/>
  <c r="K69" i="8"/>
  <c r="K48" i="8"/>
  <c r="K42" i="8"/>
  <c r="I42" i="8" s="1"/>
  <c r="K45" i="8"/>
  <c r="I45" i="8" s="1"/>
  <c r="K28" i="8"/>
  <c r="K32" i="8"/>
  <c r="K62" i="8"/>
  <c r="I62" i="8" s="1"/>
  <c r="K14" i="8"/>
  <c r="I14" i="8" s="1"/>
  <c r="K30" i="8"/>
  <c r="K36" i="8"/>
  <c r="K35" i="8"/>
  <c r="I35" i="8" s="1"/>
  <c r="K68" i="8"/>
  <c r="I68" i="8" s="1"/>
  <c r="K44" i="8"/>
  <c r="K10" i="8"/>
  <c r="K58" i="8"/>
  <c r="I58" i="8" s="1"/>
  <c r="K41" i="8"/>
  <c r="I41" i="8" s="1"/>
  <c r="K3" i="8"/>
  <c r="K67" i="8"/>
  <c r="K66" i="8"/>
  <c r="I66" i="8" s="1"/>
  <c r="K72" i="8"/>
  <c r="I72" i="8" s="1"/>
  <c r="K40" i="8"/>
  <c r="K57" i="8"/>
  <c r="K43" i="8"/>
  <c r="I43" i="8" s="1"/>
  <c r="K52" i="8"/>
  <c r="I52" i="8" s="1"/>
  <c r="K34" i="8"/>
  <c r="K56" i="8"/>
  <c r="K13" i="8"/>
  <c r="I13" i="8" s="1"/>
  <c r="K51" i="8"/>
  <c r="I51" i="8" s="1"/>
  <c r="K23" i="8"/>
  <c r="K9" i="8"/>
  <c r="K61" i="8"/>
  <c r="I61" i="8" s="1"/>
  <c r="K65" i="8"/>
  <c r="I65" i="8" s="1"/>
  <c r="K2" i="8"/>
  <c r="I2" i="8" s="1"/>
  <c r="K29" i="8"/>
  <c r="I29" i="8" s="1"/>
  <c r="K22" i="8"/>
  <c r="I22" i="8" s="1"/>
  <c r="K75" i="8"/>
  <c r="K27" i="8"/>
  <c r="K73" i="8"/>
  <c r="I73" i="8" s="1"/>
  <c r="K55" i="8"/>
  <c r="I55" i="8" s="1"/>
  <c r="K21" i="8"/>
  <c r="I21" i="8" s="1"/>
  <c r="K8" i="8"/>
  <c r="I8" i="8" s="1"/>
  <c r="K11" i="8"/>
  <c r="I11" i="8" s="1"/>
  <c r="K25" i="8"/>
  <c r="K39" i="8"/>
  <c r="I39" i="8" s="1"/>
  <c r="K7" i="8"/>
  <c r="I7" i="8" s="1"/>
  <c r="K24" i="8"/>
  <c r="I24" i="8" s="1"/>
  <c r="K20" i="8"/>
  <c r="K74" i="8"/>
  <c r="K26" i="8"/>
  <c r="I26" i="8" s="1"/>
  <c r="K16" i="8"/>
  <c r="K19" i="8"/>
  <c r="K33" i="8"/>
  <c r="I33" i="8" s="1"/>
  <c r="K18" i="8"/>
  <c r="I18" i="8" s="1"/>
  <c r="K64" i="8"/>
  <c r="I64" i="8" s="1"/>
  <c r="K17" i="8"/>
  <c r="I16" i="4" l="1"/>
  <c r="I19" i="8"/>
  <c r="I20" i="8"/>
  <c r="I9" i="8"/>
  <c r="I56" i="8"/>
  <c r="I57" i="8"/>
  <c r="I67" i="8"/>
  <c r="I10" i="8"/>
  <c r="I36" i="8"/>
  <c r="I32" i="8"/>
  <c r="I48" i="8"/>
  <c r="I63" i="8"/>
  <c r="I16" i="8"/>
  <c r="I25" i="8"/>
  <c r="I27" i="8"/>
  <c r="I23" i="8"/>
  <c r="I34" i="8"/>
  <c r="I40" i="8"/>
  <c r="I3" i="8"/>
  <c r="I44" i="8"/>
  <c r="I30" i="8"/>
  <c r="I28" i="8"/>
  <c r="I69" i="8"/>
  <c r="I47" i="8"/>
  <c r="K77" i="8"/>
  <c r="I17" i="8"/>
  <c r="BU136" i="2"/>
  <c r="BU170" i="2"/>
  <c r="BU149" i="2"/>
  <c r="BU88" i="2"/>
  <c r="BU48"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D7" i="2"/>
  <c r="CD8" i="2"/>
  <c r="CD9" i="2"/>
  <c r="CD10" i="2"/>
  <c r="CD11" i="2"/>
  <c r="CN11" i="2" s="1"/>
  <c r="CD12" i="2"/>
  <c r="CN12" i="2" s="1"/>
  <c r="CD13" i="2"/>
  <c r="CD14" i="2"/>
  <c r="CN14" i="2" s="1"/>
  <c r="CD15" i="2"/>
  <c r="CD16" i="2"/>
  <c r="CD17" i="2"/>
  <c r="CN17" i="2" s="1"/>
  <c r="CD18" i="2"/>
  <c r="CN18" i="2" s="1"/>
  <c r="CD19" i="2"/>
  <c r="CD20" i="2"/>
  <c r="CD21" i="2"/>
  <c r="CD22" i="2"/>
  <c r="CD23" i="2"/>
  <c r="CD24" i="2"/>
  <c r="CD25" i="2"/>
  <c r="CD26" i="2"/>
  <c r="CN26" i="2" s="1"/>
  <c r="CD27" i="2"/>
  <c r="CD28" i="2"/>
  <c r="CD29" i="2"/>
  <c r="CD30" i="2"/>
  <c r="CD31" i="2"/>
  <c r="CD32" i="2"/>
  <c r="CN32" i="2" s="1"/>
  <c r="CD33" i="2"/>
  <c r="CD34" i="2"/>
  <c r="CN34" i="2" s="1"/>
  <c r="CD35" i="2"/>
  <c r="CD36" i="2"/>
  <c r="CD37" i="2"/>
  <c r="CN37" i="2" s="1"/>
  <c r="CD38" i="2"/>
  <c r="CN38" i="2" s="1"/>
  <c r="CD39" i="2"/>
  <c r="CN39" i="2" s="1"/>
  <c r="CD40" i="2"/>
  <c r="CN40" i="2" s="1"/>
  <c r="CD41" i="2"/>
  <c r="CN41" i="2" s="1"/>
  <c r="CD42" i="2"/>
  <c r="CD43" i="2"/>
  <c r="CD44" i="2"/>
  <c r="CN44" i="2" s="1"/>
  <c r="CD45" i="2"/>
  <c r="CD46" i="2"/>
  <c r="CD47" i="2"/>
  <c r="CD48" i="2"/>
  <c r="CN48" i="2" s="1"/>
  <c r="CD49" i="2"/>
  <c r="CD50" i="2"/>
  <c r="CN50" i="2" s="1"/>
  <c r="CD51" i="2"/>
  <c r="CD52" i="2"/>
  <c r="CD53" i="2"/>
  <c r="CD54" i="2"/>
  <c r="CD55" i="2"/>
  <c r="CD56" i="2"/>
  <c r="CD57" i="2"/>
  <c r="CD58" i="2"/>
  <c r="CD59" i="2"/>
  <c r="CD60" i="2"/>
  <c r="CD61" i="2"/>
  <c r="CN61" i="2" s="1"/>
  <c r="CD62" i="2"/>
  <c r="CN62" i="2" s="1"/>
  <c r="CD63" i="2"/>
  <c r="CD64" i="2"/>
  <c r="CN64" i="2" s="1"/>
  <c r="CD65" i="2"/>
  <c r="CN65" i="2" s="1"/>
  <c r="CD66" i="2"/>
  <c r="CN66" i="2" s="1"/>
  <c r="CD67" i="2"/>
  <c r="CN67" i="2" s="1"/>
  <c r="CD68" i="2"/>
  <c r="CD69" i="2"/>
  <c r="CD70" i="2"/>
  <c r="CN70" i="2" s="1"/>
  <c r="CD71" i="2"/>
  <c r="CD72" i="2"/>
  <c r="CN72" i="2" s="1"/>
  <c r="CD73" i="2"/>
  <c r="CD74" i="2"/>
  <c r="CD75" i="2"/>
  <c r="CD76" i="2"/>
  <c r="CN76" i="2" s="1"/>
  <c r="CD77" i="2"/>
  <c r="CD78" i="2"/>
  <c r="CD79" i="2"/>
  <c r="CN79" i="2" s="1"/>
  <c r="CD80" i="2"/>
  <c r="CN80" i="2" s="1"/>
  <c r="CD81" i="2"/>
  <c r="CD82" i="2"/>
  <c r="CD83" i="2"/>
  <c r="CN83" i="2" s="1"/>
  <c r="CD84" i="2"/>
  <c r="CN84" i="2" s="1"/>
  <c r="CD85" i="2"/>
  <c r="CN85" i="2" s="1"/>
  <c r="CD86" i="2"/>
  <c r="CD87" i="2"/>
  <c r="CD88" i="2"/>
  <c r="CN88" i="2" s="1"/>
  <c r="CD89" i="2"/>
  <c r="CN89" i="2" s="1"/>
  <c r="CD90" i="2"/>
  <c r="CD91" i="2"/>
  <c r="CN91" i="2" s="1"/>
  <c r="CD92" i="2"/>
  <c r="CD93" i="2"/>
  <c r="CD94" i="2"/>
  <c r="CD95" i="2"/>
  <c r="CD96" i="2"/>
  <c r="CD97" i="2"/>
  <c r="CD98" i="2"/>
  <c r="CD99" i="2"/>
  <c r="CD100" i="2"/>
  <c r="CD101" i="2"/>
  <c r="CN101" i="2" s="1"/>
  <c r="CD102" i="2"/>
  <c r="CD103" i="2"/>
  <c r="CD104" i="2"/>
  <c r="CD105" i="2"/>
  <c r="CD106" i="2"/>
  <c r="CD107" i="2"/>
  <c r="CD108" i="2"/>
  <c r="CN108" i="2" s="1"/>
  <c r="CD109" i="2"/>
  <c r="CD110" i="2"/>
  <c r="CD111" i="2"/>
  <c r="CD112" i="2"/>
  <c r="CN112" i="2" s="1"/>
  <c r="CD113" i="2"/>
  <c r="CD114" i="2"/>
  <c r="CD115" i="2"/>
  <c r="CN115" i="2" s="1"/>
  <c r="CD116" i="2"/>
  <c r="CN116" i="2" s="1"/>
  <c r="CD117" i="2"/>
  <c r="CN117" i="2" s="1"/>
  <c r="CD118" i="2"/>
  <c r="CD119" i="2"/>
  <c r="CD120" i="2"/>
  <c r="CD121" i="2"/>
  <c r="CN121" i="2" s="1"/>
  <c r="CD122" i="2"/>
  <c r="CD123" i="2"/>
  <c r="CN123" i="2" s="1"/>
  <c r="CD124" i="2"/>
  <c r="CN124" i="2" s="1"/>
  <c r="CD125" i="2"/>
  <c r="CD126" i="2"/>
  <c r="CD127" i="2"/>
  <c r="CN127" i="2" s="1"/>
  <c r="CD128" i="2"/>
  <c r="CN128" i="2" s="1"/>
  <c r="CD129" i="2"/>
  <c r="CN129" i="2" s="1"/>
  <c r="CD130" i="2"/>
  <c r="CN130" i="2" s="1"/>
  <c r="CD131" i="2"/>
  <c r="CD132" i="2"/>
  <c r="CN132" i="2" s="1"/>
  <c r="CD133" i="2"/>
  <c r="CN133" i="2" s="1"/>
  <c r="CD134" i="2"/>
  <c r="CN134" i="2" s="1"/>
  <c r="CD135" i="2"/>
  <c r="CN135" i="2" s="1"/>
  <c r="CD136" i="2"/>
  <c r="CN136" i="2" s="1"/>
  <c r="CD137" i="2"/>
  <c r="CD138" i="2"/>
  <c r="CN138" i="2" s="1"/>
  <c r="CD139" i="2"/>
  <c r="CD140" i="2"/>
  <c r="CN140" i="2" s="1"/>
  <c r="CD141" i="2"/>
  <c r="CN141" i="2" s="1"/>
  <c r="CD142" i="2"/>
  <c r="CD143" i="2"/>
  <c r="CN143" i="2" s="1"/>
  <c r="CD144" i="2"/>
  <c r="CN144" i="2" s="1"/>
  <c r="CD145" i="2"/>
  <c r="CD146" i="2"/>
  <c r="CD147" i="2"/>
  <c r="CN147" i="2" s="1"/>
  <c r="CD148" i="2"/>
  <c r="CN148" i="2" s="1"/>
  <c r="CD149" i="2"/>
  <c r="CN149" i="2" s="1"/>
  <c r="CD150" i="2"/>
  <c r="CD151" i="2"/>
  <c r="CN151" i="2" s="1"/>
  <c r="CD152" i="2"/>
  <c r="CN152" i="2" s="1"/>
  <c r="CD153" i="2"/>
  <c r="CN153" i="2" s="1"/>
  <c r="CD154" i="2"/>
  <c r="CN154" i="2" s="1"/>
  <c r="CD155" i="2"/>
  <c r="CN155" i="2" s="1"/>
  <c r="CD156" i="2"/>
  <c r="CN156" i="2" s="1"/>
  <c r="CD157" i="2"/>
  <c r="CN157" i="2" s="1"/>
  <c r="CD158" i="2"/>
  <c r="CD159" i="2"/>
  <c r="CN159" i="2" s="1"/>
  <c r="CD160" i="2"/>
  <c r="CN160" i="2" s="1"/>
  <c r="CD161" i="2"/>
  <c r="CN161" i="2" s="1"/>
  <c r="CD162" i="2"/>
  <c r="CD163" i="2"/>
  <c r="CN163" i="2" s="1"/>
  <c r="CD164" i="2"/>
  <c r="CD165" i="2"/>
  <c r="CN165" i="2" s="1"/>
  <c r="CD166" i="2"/>
  <c r="CD167" i="2"/>
  <c r="CN167" i="2" s="1"/>
  <c r="CD168" i="2"/>
  <c r="CN168" i="2" s="1"/>
  <c r="CD169" i="2"/>
  <c r="CD170" i="2"/>
  <c r="CD171" i="2"/>
  <c r="CD172" i="2"/>
  <c r="CD173" i="2"/>
  <c r="CD174" i="2"/>
  <c r="CD175" i="2"/>
  <c r="CN175" i="2" s="1"/>
  <c r="CD176" i="2"/>
  <c r="CN176" i="2" s="1"/>
  <c r="CD177" i="2"/>
  <c r="CD178" i="2"/>
  <c r="CN178" i="2" s="1"/>
  <c r="CD179" i="2"/>
  <c r="CN179" i="2" s="1"/>
  <c r="CD180" i="2"/>
  <c r="CD181" i="2"/>
  <c r="CD182" i="2"/>
  <c r="CN182" i="2" s="1"/>
  <c r="CD183" i="2"/>
  <c r="CN183" i="2" s="1"/>
  <c r="CD184" i="2"/>
  <c r="CN184" i="2" s="1"/>
  <c r="CD185" i="2"/>
  <c r="CN185" i="2" s="1"/>
  <c r="CD186" i="2"/>
  <c r="CD187" i="2"/>
  <c r="CD188" i="2"/>
  <c r="CN188" i="2" s="1"/>
  <c r="CD189" i="2"/>
  <c r="CN189" i="2" s="1"/>
  <c r="CD190" i="2"/>
  <c r="CN190" i="2" s="1"/>
  <c r="CD191" i="2"/>
  <c r="CD192" i="2"/>
  <c r="CD193" i="2"/>
  <c r="CN193" i="2" s="1"/>
  <c r="CD194" i="2"/>
  <c r="CN194" i="2" s="1"/>
  <c r="CD195" i="2"/>
  <c r="CD196" i="2"/>
  <c r="CN196" i="2" s="1"/>
  <c r="CD197" i="2"/>
  <c r="CD198" i="2"/>
  <c r="CN198" i="2" s="1"/>
  <c r="CD199" i="2"/>
  <c r="CD200" i="2"/>
  <c r="CN200" i="2" s="1"/>
  <c r="CD201" i="2"/>
  <c r="CN201" i="2" s="1"/>
  <c r="CD202" i="2"/>
  <c r="CD203" i="2"/>
  <c r="CD204" i="2"/>
  <c r="CD205" i="2"/>
  <c r="CN205" i="2" s="1"/>
  <c r="CD206" i="2"/>
  <c r="CN206" i="2" s="1"/>
  <c r="CD207" i="2"/>
  <c r="CD208" i="2"/>
  <c r="CN208" i="2" s="1"/>
  <c r="CD209" i="2"/>
  <c r="CD210" i="2"/>
  <c r="CN210" i="2" s="1"/>
  <c r="CD211" i="2"/>
  <c r="CN211" i="2" s="1"/>
  <c r="CD212" i="2"/>
  <c r="CN212" i="2" s="1"/>
  <c r="CD213" i="2"/>
  <c r="CD214" i="2"/>
  <c r="CN214" i="2" s="1"/>
  <c r="CD215" i="2"/>
  <c r="CN215" i="2" s="1"/>
  <c r="CD216" i="2"/>
  <c r="CN216" i="2" s="1"/>
  <c r="CD217" i="2"/>
  <c r="CD218" i="2"/>
  <c r="CN218" i="2" s="1"/>
  <c r="CD219" i="2"/>
  <c r="CN219" i="2" s="1"/>
  <c r="CD220" i="2"/>
  <c r="CN220" i="2" s="1"/>
  <c r="CD221" i="2"/>
  <c r="CD222" i="2"/>
  <c r="CN222" i="2" s="1"/>
  <c r="CD223" i="2"/>
  <c r="CN223" i="2" s="1"/>
  <c r="CD224" i="2"/>
  <c r="CN224" i="2" s="1"/>
  <c r="CD225" i="2"/>
  <c r="CD226" i="2"/>
  <c r="CD227" i="2"/>
  <c r="CN227" i="2" s="1"/>
  <c r="CD228" i="2"/>
  <c r="CN228" i="2" s="1"/>
  <c r="CD229" i="2"/>
  <c r="CN229" i="2" s="1"/>
  <c r="CD230" i="2"/>
  <c r="CD231" i="2"/>
  <c r="CD232" i="2"/>
  <c r="CN232" i="2" s="1"/>
  <c r="CD233" i="2"/>
  <c r="CN233" i="2" s="1"/>
  <c r="CD234" i="2"/>
  <c r="CN234" i="2" s="1"/>
  <c r="CD235" i="2"/>
  <c r="CN235" i="2" s="1"/>
  <c r="CD236" i="2"/>
  <c r="CN236" i="2" s="1"/>
  <c r="CD237" i="2"/>
  <c r="CD238" i="2"/>
  <c r="CN238" i="2" s="1"/>
  <c r="CD239" i="2"/>
  <c r="CN239" i="2" s="1"/>
  <c r="CD240" i="2"/>
  <c r="CN240" i="2" s="1"/>
  <c r="CD241" i="2"/>
  <c r="CD242" i="2"/>
  <c r="CN242" i="2" s="1"/>
  <c r="CD243" i="2"/>
  <c r="CD244" i="2"/>
  <c r="CN244" i="2" s="1"/>
  <c r="CD245" i="2"/>
  <c r="CN245" i="2" s="1"/>
  <c r="CD246" i="2"/>
  <c r="CD247" i="2"/>
  <c r="CD248" i="2"/>
  <c r="CD249" i="2"/>
  <c r="CM5" i="2"/>
  <c r="CL5" i="2"/>
  <c r="CK5" i="2"/>
  <c r="CJ5" i="2"/>
  <c r="CI5" i="2"/>
  <c r="CH5" i="2"/>
  <c r="CG5" i="2"/>
  <c r="CF5" i="2"/>
  <c r="CE5" i="2"/>
  <c r="CD5" i="2"/>
  <c r="K183" i="2"/>
  <c r="K52" i="2"/>
  <c r="K164" i="2"/>
  <c r="K156" i="2"/>
  <c r="BI66" i="2"/>
  <c r="CN90" i="2" l="1"/>
  <c r="CN86" i="2"/>
  <c r="CN125" i="2"/>
  <c r="CN36" i="2"/>
  <c r="CN120" i="2"/>
  <c r="CN6" i="2"/>
  <c r="CN186" i="2"/>
  <c r="CN97" i="2"/>
  <c r="CN118" i="2"/>
  <c r="CN122" i="2"/>
  <c r="CN74" i="2"/>
  <c r="CN13" i="2"/>
  <c r="CN164" i="2"/>
  <c r="CN22" i="2"/>
  <c r="CN126" i="2"/>
  <c r="CN145" i="2"/>
  <c r="CN93" i="2"/>
  <c r="CN106" i="2"/>
  <c r="CN105" i="2"/>
  <c r="CN204" i="2"/>
  <c r="CN142" i="2"/>
  <c r="CN249" i="2"/>
  <c r="CN197" i="2"/>
  <c r="CN162" i="2"/>
  <c r="CN110" i="2"/>
  <c r="CN114" i="2"/>
  <c r="CN98" i="2"/>
  <c r="CN54" i="2"/>
  <c r="CN57" i="2"/>
  <c r="CN58" i="2"/>
  <c r="CN82" i="2"/>
  <c r="CN158" i="2"/>
  <c r="CN166" i="2"/>
  <c r="CN42" i="2"/>
  <c r="CN217" i="2"/>
  <c r="CN213" i="2"/>
  <c r="CN68" i="2"/>
  <c r="CN230" i="2"/>
  <c r="CN63" i="2"/>
  <c r="CN195" i="2"/>
  <c r="CN102" i="2"/>
  <c r="CN191" i="2"/>
  <c r="CN131" i="2"/>
  <c r="CN243" i="2"/>
  <c r="CN78" i="2"/>
  <c r="CN19" i="2"/>
  <c r="CN15" i="2"/>
  <c r="CN31" i="2"/>
  <c r="CN35" i="2"/>
  <c r="CN59" i="2"/>
  <c r="CN30" i="2"/>
  <c r="CN55" i="2"/>
  <c r="CN171" i="2"/>
  <c r="CN146" i="2"/>
  <c r="CN111" i="2"/>
  <c r="CN87" i="2"/>
  <c r="CN46" i="2"/>
  <c r="CN51" i="2"/>
  <c r="CN47" i="2"/>
  <c r="CN43" i="2"/>
  <c r="CN170" i="2"/>
  <c r="CN81" i="2"/>
  <c r="CN187" i="2"/>
  <c r="CN75" i="2"/>
  <c r="CN23" i="2"/>
  <c r="CN94" i="2"/>
  <c r="CN27" i="2"/>
  <c r="CN139" i="2"/>
  <c r="CN209" i="2"/>
  <c r="CN207" i="2"/>
  <c r="CN10" i="2"/>
  <c r="CN247" i="2"/>
  <c r="CN202" i="2"/>
  <c r="CN150" i="2"/>
  <c r="CN7" i="2"/>
  <c r="CN95" i="2"/>
  <c r="CN107" i="2"/>
  <c r="CN199" i="2"/>
  <c r="CN203" i="2"/>
  <c r="CN174" i="2"/>
  <c r="CN119" i="2"/>
  <c r="CN103" i="2"/>
  <c r="CN246" i="2"/>
  <c r="CN226" i="2"/>
  <c r="CN248" i="2"/>
  <c r="CN60" i="2"/>
  <c r="CN56" i="2"/>
  <c r="CN231" i="2"/>
  <c r="CN96" i="2"/>
  <c r="CN53" i="2"/>
  <c r="CN69" i="2"/>
  <c r="CN5" i="2"/>
  <c r="CN28" i="2"/>
  <c r="CN177" i="2"/>
  <c r="CN52" i="2"/>
  <c r="CN181" i="2"/>
  <c r="CN73" i="2"/>
  <c r="CN77" i="2"/>
  <c r="CN24" i="2"/>
  <c r="CN20" i="2"/>
  <c r="CN16" i="2"/>
  <c r="CN237" i="2"/>
  <c r="CN241" i="2"/>
  <c r="CN9" i="2"/>
  <c r="CN25" i="2"/>
  <c r="CN172" i="2"/>
  <c r="CN21" i="2"/>
  <c r="CN71" i="2"/>
  <c r="CN221" i="2"/>
  <c r="CN225" i="2"/>
  <c r="CN104" i="2"/>
  <c r="CN92" i="2"/>
  <c r="CN137" i="2"/>
  <c r="CN99" i="2"/>
  <c r="CN173" i="2"/>
  <c r="CN192" i="2"/>
  <c r="CN169" i="2"/>
  <c r="CN29" i="2"/>
  <c r="CN180" i="2"/>
  <c r="CN113" i="2"/>
  <c r="CN109" i="2"/>
  <c r="CN8" i="2"/>
  <c r="CN100" i="2"/>
  <c r="CN49" i="2"/>
  <c r="CN45" i="2"/>
  <c r="CN33" i="2"/>
  <c r="CN250" i="2" l="1"/>
  <c r="CN3" i="2" s="1"/>
  <c r="S85" i="2"/>
  <c r="S86" i="2"/>
  <c r="S116" i="2"/>
  <c r="S93" i="2"/>
  <c r="S187" i="2"/>
  <c r="S145" i="2"/>
  <c r="S146" i="2"/>
  <c r="S121" i="2"/>
  <c r="S157" i="2"/>
  <c r="S183" i="2"/>
  <c r="S52" i="2"/>
  <c r="S164" i="2"/>
  <c r="S156" i="2"/>
  <c r="S171" i="2"/>
  <c r="S99" i="2"/>
  <c r="S20" i="2"/>
  <c r="S100" i="2"/>
  <c r="S248" i="2"/>
  <c r="S249" i="2"/>
  <c r="Y85" i="2"/>
  <c r="Y86" i="2"/>
  <c r="Y116" i="2"/>
  <c r="Y27" i="2"/>
  <c r="Y93" i="2"/>
  <c r="Y187" i="2"/>
  <c r="Y145" i="2"/>
  <c r="Y146" i="2"/>
  <c r="Y121" i="2"/>
  <c r="Y157" i="2"/>
  <c r="Y183" i="2"/>
  <c r="Y52" i="2"/>
  <c r="Y164" i="2"/>
  <c r="Y156" i="2"/>
  <c r="Y171" i="2"/>
  <c r="Y99" i="2"/>
  <c r="Y20" i="2"/>
  <c r="Y100" i="2"/>
  <c r="Y248" i="2"/>
  <c r="Y249" i="2"/>
  <c r="BU85" i="2"/>
  <c r="BU86" i="2"/>
  <c r="BU116" i="2"/>
  <c r="BU27" i="2"/>
  <c r="BU93" i="2"/>
  <c r="BU187" i="2"/>
  <c r="BU145" i="2"/>
  <c r="BU146" i="2"/>
  <c r="BU121" i="2"/>
  <c r="BU157" i="2"/>
  <c r="BU183" i="2"/>
  <c r="BU52" i="2"/>
  <c r="BU164" i="2"/>
  <c r="BU156" i="2"/>
  <c r="BU171" i="2"/>
  <c r="BU99" i="2"/>
  <c r="BU20" i="2"/>
  <c r="BU100" i="2"/>
  <c r="BU248" i="2"/>
  <c r="BU249" i="2"/>
  <c r="BO85" i="2"/>
  <c r="BO86" i="2"/>
  <c r="BO116" i="2"/>
  <c r="BO27" i="2"/>
  <c r="BO93" i="2"/>
  <c r="BO187" i="2"/>
  <c r="BO145" i="2"/>
  <c r="BO146" i="2"/>
  <c r="BO121" i="2"/>
  <c r="BO157" i="2"/>
  <c r="BO183" i="2"/>
  <c r="BO52" i="2"/>
  <c r="BO164" i="2"/>
  <c r="BO156" i="2"/>
  <c r="BO171" i="2"/>
  <c r="BO99" i="2"/>
  <c r="BO20" i="2"/>
  <c r="BO100" i="2"/>
  <c r="BO248" i="2"/>
  <c r="BO249" i="2"/>
  <c r="BI85" i="2"/>
  <c r="BI86" i="2"/>
  <c r="BI116" i="2"/>
  <c r="BI27" i="2"/>
  <c r="BI93" i="2"/>
  <c r="BI187" i="2"/>
  <c r="BI145" i="2"/>
  <c r="BI146" i="2"/>
  <c r="BI121" i="2"/>
  <c r="BI157" i="2"/>
  <c r="BI183" i="2"/>
  <c r="BI52" i="2"/>
  <c r="BI164" i="2"/>
  <c r="BI156" i="2"/>
  <c r="BI171" i="2"/>
  <c r="BI99" i="2"/>
  <c r="BI20" i="2"/>
  <c r="BI100" i="2"/>
  <c r="BI248" i="2"/>
  <c r="BI249" i="2"/>
  <c r="BC85" i="2"/>
  <c r="BC86" i="2"/>
  <c r="BC116" i="2"/>
  <c r="BC27" i="2"/>
  <c r="BC93" i="2"/>
  <c r="BC187" i="2"/>
  <c r="BC145" i="2"/>
  <c r="BC146" i="2"/>
  <c r="BC121" i="2"/>
  <c r="BC157" i="2"/>
  <c r="BC183" i="2"/>
  <c r="BC52" i="2"/>
  <c r="BC164" i="2"/>
  <c r="BC156" i="2"/>
  <c r="BC171" i="2"/>
  <c r="BC99" i="2"/>
  <c r="BC20" i="2"/>
  <c r="BC100" i="2"/>
  <c r="BC248" i="2"/>
  <c r="BC249" i="2"/>
  <c r="K85" i="2"/>
  <c r="K86" i="2"/>
  <c r="K116" i="2"/>
  <c r="K27" i="2"/>
  <c r="K93" i="2"/>
  <c r="K187" i="2"/>
  <c r="K145" i="2"/>
  <c r="K146" i="2"/>
  <c r="K121" i="2"/>
  <c r="K157" i="2"/>
  <c r="K171" i="2"/>
  <c r="K99" i="2"/>
  <c r="K20" i="2"/>
  <c r="K100" i="2"/>
  <c r="K248" i="2"/>
  <c r="K249" i="2"/>
  <c r="AE85" i="2"/>
  <c r="AE86" i="2"/>
  <c r="AE116" i="2"/>
  <c r="AE27" i="2"/>
  <c r="AE93" i="2"/>
  <c r="AE187" i="2"/>
  <c r="AE145" i="2"/>
  <c r="AE146" i="2"/>
  <c r="AE121" i="2"/>
  <c r="AE157" i="2"/>
  <c r="AE183" i="2"/>
  <c r="AE52" i="2"/>
  <c r="AE164" i="2"/>
  <c r="AE156" i="2"/>
  <c r="AE171" i="2"/>
  <c r="AE99" i="2"/>
  <c r="AE20" i="2"/>
  <c r="AE100" i="2"/>
  <c r="AE248" i="2"/>
  <c r="AE249" i="2"/>
  <c r="AK85" i="2"/>
  <c r="AK86" i="2"/>
  <c r="AK116" i="2"/>
  <c r="AK27" i="2"/>
  <c r="AK93" i="2"/>
  <c r="AK187" i="2"/>
  <c r="AK145" i="2"/>
  <c r="AK146" i="2"/>
  <c r="AK121" i="2"/>
  <c r="AK157" i="2"/>
  <c r="AK183" i="2"/>
  <c r="AK52" i="2"/>
  <c r="AK164" i="2"/>
  <c r="AK156" i="2"/>
  <c r="AK171" i="2"/>
  <c r="AK99" i="2"/>
  <c r="AK20" i="2"/>
  <c r="AK100" i="2"/>
  <c r="AK248" i="2"/>
  <c r="AK249" i="2"/>
  <c r="AQ85" i="2"/>
  <c r="AQ86" i="2"/>
  <c r="AQ116" i="2"/>
  <c r="AQ27" i="2"/>
  <c r="AQ93" i="2"/>
  <c r="AQ187" i="2"/>
  <c r="AQ145" i="2"/>
  <c r="AQ146" i="2"/>
  <c r="AQ121" i="2"/>
  <c r="AQ157" i="2"/>
  <c r="AQ183" i="2"/>
  <c r="AQ52" i="2"/>
  <c r="AQ164" i="2"/>
  <c r="AQ156" i="2"/>
  <c r="AQ171" i="2"/>
  <c r="AQ99" i="2"/>
  <c r="AQ20" i="2"/>
  <c r="AQ100" i="2"/>
  <c r="AQ248" i="2"/>
  <c r="AQ249" i="2"/>
  <c r="AW85" i="2"/>
  <c r="AW86" i="2"/>
  <c r="AW116" i="2"/>
  <c r="AW27" i="2"/>
  <c r="AW93" i="2"/>
  <c r="AW187" i="2"/>
  <c r="AW145" i="2"/>
  <c r="AW146" i="2"/>
  <c r="AW121" i="2"/>
  <c r="AW157" i="2"/>
  <c r="AW183" i="2"/>
  <c r="AW52" i="2"/>
  <c r="AW164" i="2"/>
  <c r="AW156" i="2"/>
  <c r="AW171" i="2"/>
  <c r="AW99" i="2"/>
  <c r="AW20" i="2"/>
  <c r="AW100" i="2"/>
  <c r="AW248" i="2"/>
  <c r="AW249" i="2"/>
  <c r="L99" i="2" l="1"/>
  <c r="L146" i="2"/>
  <c r="L171" i="2"/>
  <c r="L145" i="2"/>
  <c r="L100" i="2"/>
  <c r="L156" i="2"/>
  <c r="L157" i="2"/>
  <c r="L187" i="2"/>
  <c r="L86" i="2"/>
  <c r="L249" i="2"/>
  <c r="L52" i="2"/>
  <c r="L248" i="2"/>
  <c r="L183" i="2"/>
  <c r="H183" i="2" s="1"/>
  <c r="BV183" i="2" s="1"/>
  <c r="BX183" i="2" s="1"/>
  <c r="BY183" i="2" s="1"/>
  <c r="L20" i="2"/>
  <c r="L164" i="2"/>
  <c r="L121" i="2"/>
  <c r="L93" i="2"/>
  <c r="H93" i="2" s="1"/>
  <c r="BV93" i="2" s="1"/>
  <c r="BX93" i="2" s="1"/>
  <c r="BY93" i="2" s="1"/>
  <c r="L85" i="2"/>
  <c r="BV116" i="2"/>
  <c r="BX116" i="2" s="1"/>
  <c r="BY116" i="2" s="1"/>
  <c r="H248" i="2" l="1"/>
  <c r="BV248" i="2" s="1"/>
  <c r="BX248" i="2" s="1"/>
  <c r="BY248" i="2" s="1"/>
  <c r="CB248" i="2"/>
  <c r="CC248" i="2" s="1"/>
  <c r="H249" i="2"/>
  <c r="BV249" i="2" s="1"/>
  <c r="BX249" i="2" s="1"/>
  <c r="BY249" i="2" s="1"/>
  <c r="CB249" i="2"/>
  <c r="CC249" i="2" s="1"/>
  <c r="K109" i="2"/>
  <c r="S109" i="2"/>
  <c r="Y109" i="2"/>
  <c r="AE109" i="2"/>
  <c r="AK109" i="2"/>
  <c r="AQ109" i="2"/>
  <c r="AW109" i="2"/>
  <c r="BC109" i="2"/>
  <c r="BI109" i="2"/>
  <c r="BO109" i="2"/>
  <c r="BU109" i="2"/>
  <c r="K29" i="2"/>
  <c r="S29" i="2"/>
  <c r="Y29" i="2"/>
  <c r="AE29" i="2"/>
  <c r="AK29" i="2"/>
  <c r="AQ29" i="2"/>
  <c r="AW29" i="2"/>
  <c r="BC29" i="2"/>
  <c r="BI29" i="2"/>
  <c r="BO29" i="2"/>
  <c r="BU29" i="2"/>
  <c r="K174" i="2"/>
  <c r="S174" i="2"/>
  <c r="Y174" i="2"/>
  <c r="AE174" i="2"/>
  <c r="AK174" i="2"/>
  <c r="AQ174" i="2"/>
  <c r="AW174" i="2"/>
  <c r="BC174" i="2"/>
  <c r="BI174" i="2"/>
  <c r="BO174" i="2"/>
  <c r="BU174" i="2"/>
  <c r="K50" i="2"/>
  <c r="S50" i="2"/>
  <c r="Y50" i="2"/>
  <c r="AE50" i="2"/>
  <c r="AK50" i="2"/>
  <c r="AQ50" i="2"/>
  <c r="AW50" i="2"/>
  <c r="BC50" i="2"/>
  <c r="BI50" i="2"/>
  <c r="BO50" i="2"/>
  <c r="BU50" i="2"/>
  <c r="K119" i="2"/>
  <c r="S119" i="2"/>
  <c r="Y119" i="2"/>
  <c r="AE119" i="2"/>
  <c r="AK119" i="2"/>
  <c r="AQ119" i="2"/>
  <c r="AW119" i="2"/>
  <c r="BC119" i="2"/>
  <c r="BI119" i="2"/>
  <c r="BO119" i="2"/>
  <c r="BU119" i="2"/>
  <c r="K120" i="2"/>
  <c r="S120" i="2"/>
  <c r="Y120" i="2"/>
  <c r="AE120" i="2"/>
  <c r="AK120" i="2"/>
  <c r="AQ120" i="2"/>
  <c r="AW120" i="2"/>
  <c r="BC120" i="2"/>
  <c r="BI120" i="2"/>
  <c r="BO120" i="2"/>
  <c r="BU120" i="2"/>
  <c r="K69" i="2"/>
  <c r="S69" i="2"/>
  <c r="Y69" i="2"/>
  <c r="AE69" i="2"/>
  <c r="AK69" i="2"/>
  <c r="AQ69" i="2"/>
  <c r="AW69" i="2"/>
  <c r="BC69" i="2"/>
  <c r="BI69" i="2"/>
  <c r="BO69" i="2"/>
  <c r="BU69" i="2"/>
  <c r="K104" i="2"/>
  <c r="S104" i="2"/>
  <c r="Y104" i="2"/>
  <c r="AE104" i="2"/>
  <c r="AK104" i="2"/>
  <c r="AQ104" i="2"/>
  <c r="AW104" i="2"/>
  <c r="BC104" i="2"/>
  <c r="BI104" i="2"/>
  <c r="BO104" i="2"/>
  <c r="BU104" i="2"/>
  <c r="K186" i="2"/>
  <c r="S186" i="2"/>
  <c r="Y186" i="2"/>
  <c r="AE186" i="2"/>
  <c r="AK186" i="2"/>
  <c r="AQ186" i="2"/>
  <c r="AW186" i="2"/>
  <c r="BC186" i="2"/>
  <c r="BI186" i="2"/>
  <c r="BO186" i="2"/>
  <c r="BU186" i="2"/>
  <c r="K113" i="2"/>
  <c r="S113" i="2"/>
  <c r="Y113" i="2"/>
  <c r="AE113" i="2"/>
  <c r="AK113" i="2"/>
  <c r="AQ113" i="2"/>
  <c r="AW113" i="2"/>
  <c r="BC113" i="2"/>
  <c r="BI113" i="2"/>
  <c r="BO113" i="2"/>
  <c r="BU113"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L69" i="2" l="1"/>
  <c r="L174" i="2"/>
  <c r="L50" i="2"/>
  <c r="L186" i="2"/>
  <c r="L119" i="2"/>
  <c r="L109" i="2"/>
  <c r="L104" i="2"/>
  <c r="L113" i="2"/>
  <c r="L120" i="2"/>
  <c r="L29" i="2"/>
  <c r="CO249" i="2"/>
  <c r="CS249" i="2"/>
  <c r="CQ249" i="2"/>
  <c r="CP249" i="2"/>
  <c r="CR249" i="2"/>
  <c r="CP248" i="2"/>
  <c r="CS248" i="2"/>
  <c r="CQ248" i="2"/>
  <c r="CR248" i="2"/>
  <c r="CO248" i="2"/>
  <c r="K136" i="2" l="1"/>
  <c r="K223" i="2"/>
  <c r="K134" i="2"/>
  <c r="K172" i="2"/>
  <c r="K60" i="2"/>
  <c r="K23" i="2"/>
  <c r="K24" i="2"/>
  <c r="K34" i="2"/>
  <c r="K112" i="2"/>
  <c r="K48" i="2"/>
  <c r="K36" i="2"/>
  <c r="K64" i="2"/>
  <c r="K141" i="2"/>
  <c r="K44" i="2"/>
  <c r="K19" i="2"/>
  <c r="K154" i="2"/>
  <c r="K37" i="2"/>
  <c r="K138" i="2"/>
  <c r="K91" i="2"/>
  <c r="K9" i="2"/>
  <c r="K65" i="2"/>
  <c r="BU223" i="2"/>
  <c r="BU134" i="2"/>
  <c r="BU172" i="2"/>
  <c r="BU60" i="2"/>
  <c r="BU23" i="2"/>
  <c r="BU24" i="2"/>
  <c r="BU34" i="2"/>
  <c r="BU112" i="2"/>
  <c r="BU36" i="2"/>
  <c r="BU64" i="2"/>
  <c r="BU141" i="2"/>
  <c r="BU44" i="2"/>
  <c r="BU19" i="2"/>
  <c r="BU154" i="2"/>
  <c r="BU37" i="2"/>
  <c r="BU138" i="2"/>
  <c r="BU91" i="2"/>
  <c r="BU9" i="2"/>
  <c r="BU65" i="2"/>
  <c r="S223" i="2"/>
  <c r="S134" i="2"/>
  <c r="S172" i="2"/>
  <c r="S60" i="2"/>
  <c r="S34" i="2"/>
  <c r="S112" i="2"/>
  <c r="S48" i="2"/>
  <c r="S36" i="2"/>
  <c r="S64" i="2"/>
  <c r="S141" i="2"/>
  <c r="S44" i="2"/>
  <c r="S19" i="2"/>
  <c r="S154" i="2"/>
  <c r="S37" i="2"/>
  <c r="S138" i="2"/>
  <c r="S91" i="2"/>
  <c r="S9" i="2"/>
  <c r="S65" i="2"/>
  <c r="Y223" i="2"/>
  <c r="Y134" i="2"/>
  <c r="Y172" i="2"/>
  <c r="Y60" i="2"/>
  <c r="Y23" i="2"/>
  <c r="Y24" i="2"/>
  <c r="Y34" i="2"/>
  <c r="Y112" i="2"/>
  <c r="Y48" i="2"/>
  <c r="Y36" i="2"/>
  <c r="Y64" i="2"/>
  <c r="Y141" i="2"/>
  <c r="Y44" i="2"/>
  <c r="Y19" i="2"/>
  <c r="Y154" i="2"/>
  <c r="Y37" i="2"/>
  <c r="Y138" i="2"/>
  <c r="Y91" i="2"/>
  <c r="Y9" i="2"/>
  <c r="Y65" i="2"/>
  <c r="AE223" i="2"/>
  <c r="AE134" i="2"/>
  <c r="AE172" i="2"/>
  <c r="AE60" i="2"/>
  <c r="AE23" i="2"/>
  <c r="AE24" i="2"/>
  <c r="AE34" i="2"/>
  <c r="AE112" i="2"/>
  <c r="AE48" i="2"/>
  <c r="AE36" i="2"/>
  <c r="AE64" i="2"/>
  <c r="AE141" i="2"/>
  <c r="AE44" i="2"/>
  <c r="AE19" i="2"/>
  <c r="AE154" i="2"/>
  <c r="AE37" i="2"/>
  <c r="AE138" i="2"/>
  <c r="AE91" i="2"/>
  <c r="AE9" i="2"/>
  <c r="AE65" i="2"/>
  <c r="AK223" i="2"/>
  <c r="AK134" i="2"/>
  <c r="AK172" i="2"/>
  <c r="AK60" i="2"/>
  <c r="AK23" i="2"/>
  <c r="AK24" i="2"/>
  <c r="AK34" i="2"/>
  <c r="AK112" i="2"/>
  <c r="AK48" i="2"/>
  <c r="AK36" i="2"/>
  <c r="AK64" i="2"/>
  <c r="AK141" i="2"/>
  <c r="AK44" i="2"/>
  <c r="AK19" i="2"/>
  <c r="AK154" i="2"/>
  <c r="AK37" i="2"/>
  <c r="AK138" i="2"/>
  <c r="AK91" i="2"/>
  <c r="AK9" i="2"/>
  <c r="AK65" i="2"/>
  <c r="AQ223" i="2"/>
  <c r="AQ134" i="2"/>
  <c r="AQ172" i="2"/>
  <c r="AQ60" i="2"/>
  <c r="AQ23" i="2"/>
  <c r="AQ24" i="2"/>
  <c r="AQ34" i="2"/>
  <c r="AQ112" i="2"/>
  <c r="AQ48" i="2"/>
  <c r="AQ36" i="2"/>
  <c r="AQ64" i="2"/>
  <c r="AQ141" i="2"/>
  <c r="AQ44" i="2"/>
  <c r="AQ19" i="2"/>
  <c r="AQ154" i="2"/>
  <c r="AQ37" i="2"/>
  <c r="AQ138" i="2"/>
  <c r="AQ91" i="2"/>
  <c r="AQ9" i="2"/>
  <c r="AQ65" i="2"/>
  <c r="AW223" i="2"/>
  <c r="AW134" i="2"/>
  <c r="AW172" i="2"/>
  <c r="AW60" i="2"/>
  <c r="AW23" i="2"/>
  <c r="AW24" i="2"/>
  <c r="AW34" i="2"/>
  <c r="AW112" i="2"/>
  <c r="AW48" i="2"/>
  <c r="AW36" i="2"/>
  <c r="AW64" i="2"/>
  <c r="AW141" i="2"/>
  <c r="AW44" i="2"/>
  <c r="AW19" i="2"/>
  <c r="AW154" i="2"/>
  <c r="AW37" i="2"/>
  <c r="AW138" i="2"/>
  <c r="AW91" i="2"/>
  <c r="AW9" i="2"/>
  <c r="AW65" i="2"/>
  <c r="BC223" i="2"/>
  <c r="BC134" i="2"/>
  <c r="BC172" i="2"/>
  <c r="BC60" i="2"/>
  <c r="BC23" i="2"/>
  <c r="BC24" i="2"/>
  <c r="BC34" i="2"/>
  <c r="BC112" i="2"/>
  <c r="BC48" i="2"/>
  <c r="BC36" i="2"/>
  <c r="BC64" i="2"/>
  <c r="BC141" i="2"/>
  <c r="BC44" i="2"/>
  <c r="BC19" i="2"/>
  <c r="BC154" i="2"/>
  <c r="BC37" i="2"/>
  <c r="BC138" i="2"/>
  <c r="BC91" i="2"/>
  <c r="BC9" i="2"/>
  <c r="BC65" i="2"/>
  <c r="BI223" i="2"/>
  <c r="BI134" i="2"/>
  <c r="BI172" i="2"/>
  <c r="BI60" i="2"/>
  <c r="BI23" i="2"/>
  <c r="BI24" i="2"/>
  <c r="BI34" i="2"/>
  <c r="BI112" i="2"/>
  <c r="BI48" i="2"/>
  <c r="BI36" i="2"/>
  <c r="BI64" i="2"/>
  <c r="BI141" i="2"/>
  <c r="BI44" i="2"/>
  <c r="BI19" i="2"/>
  <c r="BI154" i="2"/>
  <c r="BI37" i="2"/>
  <c r="BI138" i="2"/>
  <c r="BI91" i="2"/>
  <c r="BI9" i="2"/>
  <c r="BI65" i="2"/>
  <c r="BO223" i="2"/>
  <c r="BO134" i="2"/>
  <c r="BO172" i="2"/>
  <c r="BO60" i="2"/>
  <c r="BO23" i="2"/>
  <c r="BO24" i="2"/>
  <c r="BO34" i="2"/>
  <c r="BO112" i="2"/>
  <c r="BO48" i="2"/>
  <c r="BO36" i="2"/>
  <c r="BO64" i="2"/>
  <c r="BO141" i="2"/>
  <c r="BO44" i="2"/>
  <c r="BO19" i="2"/>
  <c r="BO154" i="2"/>
  <c r="BO37" i="2"/>
  <c r="BO138" i="2"/>
  <c r="BO91" i="2"/>
  <c r="BO9" i="2"/>
  <c r="BO65" i="2"/>
  <c r="AE161" i="2"/>
  <c r="L65" i="2" l="1"/>
  <c r="L37" i="2"/>
  <c r="L112" i="2"/>
  <c r="L9" i="2"/>
  <c r="L154" i="2"/>
  <c r="L34" i="2"/>
  <c r="L91" i="2"/>
  <c r="L19" i="2"/>
  <c r="L36" i="2"/>
  <c r="L134" i="2"/>
  <c r="L141" i="2"/>
  <c r="L60" i="2"/>
  <c r="L64" i="2"/>
  <c r="L172" i="2"/>
  <c r="L138" i="2"/>
  <c r="L44" i="2"/>
  <c r="L48" i="2"/>
  <c r="L223" i="2"/>
  <c r="BP250" i="2"/>
  <c r="BJ250" i="2"/>
  <c r="BD250" i="2"/>
  <c r="AX250" i="2"/>
  <c r="AR250" i="2"/>
  <c r="AL250" i="2"/>
  <c r="AF250" i="2"/>
  <c r="Z250" i="2"/>
  <c r="N250" i="2"/>
  <c r="T250" i="2"/>
  <c r="H223" i="2" l="1"/>
  <c r="BV223" i="2" s="1"/>
  <c r="BX223" i="2" s="1"/>
  <c r="BY223" i="2" s="1"/>
  <c r="BU247" i="2" l="1"/>
  <c r="BU103" i="2"/>
  <c r="BU38" i="2"/>
  <c r="BU61" i="2"/>
  <c r="BU162" i="2"/>
  <c r="BU197" i="2"/>
  <c r="BU152" i="2"/>
  <c r="BU161" i="2"/>
  <c r="BU107" i="2"/>
  <c r="BU106" i="2"/>
  <c r="BU30" i="2"/>
  <c r="BU89" i="2"/>
  <c r="BU158" i="2"/>
  <c r="BU160" i="2"/>
  <c r="BU59" i="2"/>
  <c r="BU43" i="2"/>
  <c r="BU212" i="2"/>
  <c r="BU108" i="2"/>
  <c r="BU168" i="2"/>
  <c r="BU78" i="2"/>
  <c r="BU153" i="2"/>
  <c r="BU176" i="2"/>
  <c r="BU135" i="2"/>
  <c r="BU10" i="2"/>
  <c r="BU127" i="2"/>
  <c r="BU111" i="2"/>
  <c r="BU35" i="2"/>
  <c r="BU31" i="2"/>
  <c r="BO247" i="2"/>
  <c r="BO103" i="2"/>
  <c r="BO38" i="2"/>
  <c r="BO61" i="2"/>
  <c r="BO162" i="2"/>
  <c r="BO197" i="2"/>
  <c r="BO152" i="2"/>
  <c r="BO161" i="2"/>
  <c r="BO30" i="2"/>
  <c r="BO89" i="2"/>
  <c r="BO158" i="2"/>
  <c r="BO160" i="2"/>
  <c r="BO59" i="2"/>
  <c r="BO43" i="2"/>
  <c r="BO212" i="2"/>
  <c r="BO108" i="2"/>
  <c r="BO168" i="2"/>
  <c r="BO78" i="2"/>
  <c r="BO153" i="2"/>
  <c r="BO176" i="2"/>
  <c r="BO135" i="2"/>
  <c r="BO10" i="2"/>
  <c r="BO127" i="2"/>
  <c r="BO111" i="2"/>
  <c r="BO35" i="2"/>
  <c r="BO31" i="2"/>
  <c r="BO136" i="2"/>
  <c r="BI247" i="2"/>
  <c r="BI103" i="2"/>
  <c r="BI38" i="2"/>
  <c r="BI61" i="2"/>
  <c r="BI162" i="2"/>
  <c r="BI197" i="2"/>
  <c r="BI152" i="2"/>
  <c r="BI161" i="2"/>
  <c r="BI107" i="2"/>
  <c r="BO107" i="2" s="1"/>
  <c r="BI106" i="2"/>
  <c r="BO106" i="2" s="1"/>
  <c r="BI30" i="2"/>
  <c r="BI89" i="2"/>
  <c r="BI158" i="2"/>
  <c r="BI160" i="2"/>
  <c r="BI59" i="2"/>
  <c r="BI43" i="2"/>
  <c r="BI212" i="2"/>
  <c r="BI108" i="2"/>
  <c r="BI168" i="2"/>
  <c r="BI78" i="2"/>
  <c r="BI153" i="2"/>
  <c r="BI176" i="2"/>
  <c r="BI135" i="2"/>
  <c r="BI10" i="2"/>
  <c r="BI127" i="2"/>
  <c r="BI111" i="2"/>
  <c r="BI35" i="2"/>
  <c r="BI31" i="2"/>
  <c r="BI136" i="2"/>
  <c r="BC247" i="2"/>
  <c r="BC103" i="2"/>
  <c r="BC38" i="2"/>
  <c r="BC61" i="2"/>
  <c r="BC162" i="2"/>
  <c r="BC197" i="2"/>
  <c r="BC152" i="2"/>
  <c r="BC161" i="2"/>
  <c r="BC107" i="2"/>
  <c r="BC106" i="2"/>
  <c r="BC30" i="2"/>
  <c r="BC89" i="2"/>
  <c r="BC158" i="2"/>
  <c r="BC160" i="2"/>
  <c r="BC59" i="2"/>
  <c r="BC43" i="2"/>
  <c r="BC212" i="2"/>
  <c r="BC108" i="2"/>
  <c r="BC168" i="2"/>
  <c r="BC78" i="2"/>
  <c r="BC153" i="2"/>
  <c r="BC176" i="2"/>
  <c r="BC135" i="2"/>
  <c r="BC10" i="2"/>
  <c r="BC127" i="2"/>
  <c r="BC111" i="2"/>
  <c r="BC35" i="2"/>
  <c r="BC31" i="2"/>
  <c r="BC136" i="2"/>
  <c r="AW247" i="2"/>
  <c r="AW103" i="2"/>
  <c r="AW38" i="2"/>
  <c r="AW61" i="2"/>
  <c r="AW162" i="2"/>
  <c r="AW197" i="2"/>
  <c r="AW152" i="2"/>
  <c r="AW161" i="2"/>
  <c r="AW107" i="2"/>
  <c r="AW106" i="2"/>
  <c r="AW30" i="2"/>
  <c r="AW89" i="2"/>
  <c r="AW158" i="2"/>
  <c r="AW160" i="2"/>
  <c r="AW59" i="2"/>
  <c r="AW43" i="2"/>
  <c r="AW212" i="2"/>
  <c r="AW108" i="2"/>
  <c r="AW168" i="2"/>
  <c r="AW78" i="2"/>
  <c r="AW153" i="2"/>
  <c r="AW176" i="2"/>
  <c r="AW135" i="2"/>
  <c r="AW10" i="2"/>
  <c r="AW127" i="2"/>
  <c r="AW111" i="2"/>
  <c r="AW35" i="2"/>
  <c r="AW31" i="2"/>
  <c r="AW136" i="2"/>
  <c r="AQ247" i="2"/>
  <c r="AQ103" i="2"/>
  <c r="AQ38" i="2"/>
  <c r="AQ61" i="2"/>
  <c r="AQ162" i="2"/>
  <c r="AQ197" i="2"/>
  <c r="AQ152" i="2"/>
  <c r="AQ161" i="2"/>
  <c r="AQ107" i="2"/>
  <c r="AQ106" i="2"/>
  <c r="AQ30" i="2"/>
  <c r="AQ89" i="2"/>
  <c r="AQ158" i="2"/>
  <c r="AQ160" i="2"/>
  <c r="AQ59" i="2"/>
  <c r="AQ43" i="2"/>
  <c r="AQ212" i="2"/>
  <c r="AQ108" i="2"/>
  <c r="AQ168" i="2"/>
  <c r="AQ78" i="2"/>
  <c r="AQ153" i="2"/>
  <c r="AQ176" i="2"/>
  <c r="AQ135" i="2"/>
  <c r="AQ10" i="2"/>
  <c r="AQ127" i="2"/>
  <c r="AQ111" i="2"/>
  <c r="AQ35" i="2"/>
  <c r="AQ31" i="2"/>
  <c r="AQ136" i="2"/>
  <c r="AK247" i="2"/>
  <c r="AK103" i="2"/>
  <c r="AK38" i="2"/>
  <c r="AK61" i="2"/>
  <c r="AK162" i="2"/>
  <c r="AK197" i="2"/>
  <c r="AK152" i="2"/>
  <c r="AK161" i="2"/>
  <c r="AK107" i="2"/>
  <c r="AK106" i="2"/>
  <c r="AK30" i="2"/>
  <c r="AK89" i="2"/>
  <c r="AK158" i="2"/>
  <c r="AK160" i="2"/>
  <c r="AK59" i="2"/>
  <c r="AK43" i="2"/>
  <c r="AK212" i="2"/>
  <c r="AK108" i="2"/>
  <c r="AK168" i="2"/>
  <c r="AK78" i="2"/>
  <c r="AK153" i="2"/>
  <c r="AK176" i="2"/>
  <c r="AK135" i="2"/>
  <c r="AK10" i="2"/>
  <c r="AK127" i="2"/>
  <c r="AK111" i="2"/>
  <c r="AK35" i="2"/>
  <c r="AK31" i="2"/>
  <c r="AK136" i="2"/>
  <c r="Y247" i="2"/>
  <c r="Y103" i="2"/>
  <c r="Y38" i="2"/>
  <c r="Y61" i="2"/>
  <c r="Y162" i="2"/>
  <c r="Y197" i="2"/>
  <c r="Y152" i="2"/>
  <c r="Y161" i="2"/>
  <c r="Y107" i="2"/>
  <c r="Y106" i="2"/>
  <c r="Y30" i="2"/>
  <c r="Y89" i="2"/>
  <c r="Y158" i="2"/>
  <c r="Y160" i="2"/>
  <c r="Y59" i="2"/>
  <c r="Y43" i="2"/>
  <c r="Y212" i="2"/>
  <c r="Y108" i="2"/>
  <c r="Y168" i="2"/>
  <c r="Y78" i="2"/>
  <c r="Y153" i="2"/>
  <c r="Y176" i="2"/>
  <c r="Y135" i="2"/>
  <c r="Y10" i="2"/>
  <c r="Y127" i="2"/>
  <c r="Y111" i="2"/>
  <c r="Y35" i="2"/>
  <c r="Y31" i="2"/>
  <c r="Y136" i="2"/>
  <c r="AE247" i="2"/>
  <c r="AE103" i="2"/>
  <c r="AE38" i="2"/>
  <c r="AE61" i="2"/>
  <c r="AE162" i="2"/>
  <c r="AE197" i="2"/>
  <c r="AE152" i="2"/>
  <c r="AE107" i="2"/>
  <c r="AE106" i="2"/>
  <c r="AE30" i="2"/>
  <c r="AE89" i="2"/>
  <c r="AE158" i="2"/>
  <c r="AE160" i="2"/>
  <c r="AE59" i="2"/>
  <c r="AE43" i="2"/>
  <c r="AE212" i="2"/>
  <c r="AE108" i="2"/>
  <c r="AE168" i="2"/>
  <c r="AE78" i="2"/>
  <c r="AE153" i="2"/>
  <c r="AE176" i="2"/>
  <c r="AE135" i="2"/>
  <c r="AE10" i="2"/>
  <c r="AE127" i="2"/>
  <c r="AE111" i="2"/>
  <c r="AE35" i="2"/>
  <c r="AE31" i="2"/>
  <c r="AE136" i="2"/>
  <c r="K151" i="2"/>
  <c r="K103" i="2"/>
  <c r="K61" i="2"/>
  <c r="K162" i="2"/>
  <c r="K197" i="2"/>
  <c r="K152" i="2"/>
  <c r="K161" i="2"/>
  <c r="K107" i="2"/>
  <c r="K106" i="2"/>
  <c r="K30" i="2"/>
  <c r="K89" i="2"/>
  <c r="K158" i="2"/>
  <c r="K160" i="2"/>
  <c r="K59" i="2"/>
  <c r="K43" i="2"/>
  <c r="K212" i="2"/>
  <c r="K108" i="2"/>
  <c r="K168" i="2"/>
  <c r="K78" i="2"/>
  <c r="K153" i="2"/>
  <c r="K176" i="2"/>
  <c r="K135" i="2"/>
  <c r="K10" i="2"/>
  <c r="K127" i="2"/>
  <c r="K111" i="2"/>
  <c r="K35" i="2"/>
  <c r="K31" i="2"/>
  <c r="S151" i="2"/>
  <c r="S103" i="2"/>
  <c r="S38" i="2"/>
  <c r="S61" i="2"/>
  <c r="S162" i="2"/>
  <c r="S197" i="2"/>
  <c r="S152" i="2"/>
  <c r="S161" i="2"/>
  <c r="S107" i="2"/>
  <c r="S106" i="2"/>
  <c r="S30" i="2"/>
  <c r="S89" i="2"/>
  <c r="S158" i="2"/>
  <c r="S160" i="2"/>
  <c r="S59" i="2"/>
  <c r="S43" i="2"/>
  <c r="S212" i="2"/>
  <c r="S108" i="2"/>
  <c r="S168" i="2"/>
  <c r="S78" i="2"/>
  <c r="S153" i="2"/>
  <c r="S176" i="2"/>
  <c r="S135" i="2"/>
  <c r="S10" i="2"/>
  <c r="S127" i="2"/>
  <c r="S111" i="2"/>
  <c r="S35" i="2"/>
  <c r="S31" i="2"/>
  <c r="S136" i="2"/>
  <c r="AE151" i="2"/>
  <c r="AK151" i="2"/>
  <c r="AQ151" i="2"/>
  <c r="AW151" i="2"/>
  <c r="BC151" i="2"/>
  <c r="BI151" i="2"/>
  <c r="BO151" i="2"/>
  <c r="BU151" i="2"/>
  <c r="L31" i="2" l="1"/>
  <c r="L10" i="2"/>
  <c r="L43" i="2"/>
  <c r="L89" i="2"/>
  <c r="L161" i="2"/>
  <c r="L61" i="2"/>
  <c r="L78" i="2"/>
  <c r="L135" i="2"/>
  <c r="L59" i="2"/>
  <c r="L38" i="2"/>
  <c r="L111" i="2"/>
  <c r="L176" i="2"/>
  <c r="L108" i="2"/>
  <c r="L160" i="2"/>
  <c r="L106" i="2"/>
  <c r="L197" i="2"/>
  <c r="H197" i="2" s="1"/>
  <c r="BV197" i="2" s="1"/>
  <c r="BX197" i="2" s="1"/>
  <c r="BY197" i="2" s="1"/>
  <c r="L103" i="2"/>
  <c r="L35" i="2"/>
  <c r="L168" i="2"/>
  <c r="L30" i="2"/>
  <c r="L152" i="2"/>
  <c r="L136" i="2"/>
  <c r="L127" i="2"/>
  <c r="L153" i="2"/>
  <c r="L212" i="2"/>
  <c r="H212" i="2" s="1"/>
  <c r="BV212" i="2" s="1"/>
  <c r="BX212" i="2" s="1"/>
  <c r="BY212" i="2" s="1"/>
  <c r="L158" i="2"/>
  <c r="L107" i="2"/>
  <c r="L162" i="2"/>
  <c r="L151" i="2"/>
  <c r="K38" i="2"/>
  <c r="L446" i="5" l="1"/>
  <c r="L421" i="5"/>
  <c r="L396" i="5"/>
  <c r="L371" i="5"/>
  <c r="L321" i="5"/>
  <c r="L346" i="5"/>
  <c r="L296" i="5"/>
  <c r="L271" i="5"/>
  <c r="L246" i="5"/>
  <c r="L221" i="5"/>
  <c r="AH3" i="5"/>
  <c r="AH4" i="5"/>
  <c r="AH5" i="5"/>
  <c r="AH6" i="5"/>
  <c r="AH7" i="5"/>
  <c r="AH8" i="5"/>
  <c r="AH9" i="5"/>
  <c r="AH10" i="5"/>
  <c r="AH11" i="5"/>
  <c r="AH12" i="5"/>
  <c r="AH13" i="5"/>
  <c r="AH14" i="5"/>
  <c r="AH15" i="5"/>
  <c r="AH16" i="5"/>
  <c r="AH17" i="5"/>
  <c r="AH18" i="5"/>
  <c r="AH19" i="5"/>
  <c r="AH2" i="5"/>
  <c r="AE10" i="5"/>
  <c r="AF10" i="5"/>
  <c r="AG10" i="5"/>
  <c r="AE11" i="5"/>
  <c r="C246" i="5" s="1"/>
  <c r="AF11" i="5"/>
  <c r="AG11" i="5"/>
  <c r="AE12" i="5"/>
  <c r="AF12" i="5"/>
  <c r="AG12" i="5"/>
  <c r="AE13" i="5"/>
  <c r="AF13" i="5"/>
  <c r="AG13" i="5"/>
  <c r="AE14" i="5"/>
  <c r="AF14" i="5"/>
  <c r="AG14" i="5"/>
  <c r="AE15" i="5"/>
  <c r="AF15" i="5"/>
  <c r="AG15" i="5"/>
  <c r="AE16" i="5"/>
  <c r="AF16" i="5"/>
  <c r="AG16" i="5"/>
  <c r="AE17" i="5"/>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C250" i="2"/>
  <c r="C1" i="2" s="1"/>
  <c r="A250" i="2"/>
  <c r="K39" i="2"/>
  <c r="K115" i="2"/>
  <c r="K53" i="2"/>
  <c r="K54" i="2"/>
  <c r="K57" i="2"/>
  <c r="K66" i="2"/>
  <c r="K231" i="2"/>
  <c r="K232" i="2"/>
  <c r="K88" i="2"/>
  <c r="K92" i="2"/>
  <c r="K130" i="2"/>
  <c r="K149" i="2"/>
  <c r="K170" i="2"/>
  <c r="K247" i="2"/>
  <c r="K5" i="2"/>
  <c r="K72" i="2"/>
  <c r="K56" i="2"/>
  <c r="K62" i="2"/>
  <c r="K126" i="2"/>
  <c r="K80" i="2"/>
  <c r="K22" i="2"/>
  <c r="K190" i="2"/>
  <c r="K73" i="2"/>
  <c r="K77" i="2"/>
  <c r="K191" i="2"/>
  <c r="K159" i="2"/>
  <c r="K97" i="2"/>
  <c r="K192" i="2"/>
  <c r="K193" i="2"/>
  <c r="K194" i="2"/>
  <c r="K139" i="2"/>
  <c r="K236" i="2"/>
  <c r="K175" i="2"/>
  <c r="K58" i="2"/>
  <c r="K243" i="2"/>
  <c r="K14" i="2"/>
  <c r="K25" i="2"/>
  <c r="K45" i="2"/>
  <c r="K46" i="2"/>
  <c r="K51" i="2"/>
  <c r="K68" i="2"/>
  <c r="K87" i="2"/>
  <c r="K74" i="2"/>
  <c r="K195" i="2"/>
  <c r="K114" i="2"/>
  <c r="K196" i="2"/>
  <c r="K123" i="2"/>
  <c r="K124" i="2"/>
  <c r="K198" i="2"/>
  <c r="K148" i="2"/>
  <c r="K241" i="2"/>
  <c r="K47" i="2"/>
  <c r="K179" i="2"/>
  <c r="K244" i="2"/>
  <c r="K185" i="2"/>
  <c r="K76" i="2"/>
  <c r="K6" i="2"/>
  <c r="K7" i="2"/>
  <c r="K211" i="2"/>
  <c r="K125" i="2"/>
  <c r="K144" i="2"/>
  <c r="K155" i="2"/>
  <c r="K169" i="2"/>
  <c r="K84" i="2"/>
  <c r="K235" i="2"/>
  <c r="S115" i="2"/>
  <c r="Y115" i="2"/>
  <c r="AE115" i="2"/>
  <c r="AK115" i="2"/>
  <c r="AQ115" i="2"/>
  <c r="AW115" i="2"/>
  <c r="BC115" i="2"/>
  <c r="BI115" i="2"/>
  <c r="BO115" i="2"/>
  <c r="BU115" i="2"/>
  <c r="S53" i="2"/>
  <c r="AE53" i="2"/>
  <c r="AK53" i="2"/>
  <c r="AQ53" i="2"/>
  <c r="AW53" i="2"/>
  <c r="BC53" i="2"/>
  <c r="BI53" i="2"/>
  <c r="BO53" i="2"/>
  <c r="BU53" i="2"/>
  <c r="S54" i="2"/>
  <c r="Y54" i="2"/>
  <c r="AE54" i="2"/>
  <c r="AK54" i="2"/>
  <c r="AQ54" i="2"/>
  <c r="AW54" i="2"/>
  <c r="BC54" i="2"/>
  <c r="BI54" i="2"/>
  <c r="BO54" i="2"/>
  <c r="BU54" i="2"/>
  <c r="S57" i="2"/>
  <c r="Y57" i="2"/>
  <c r="AE57" i="2"/>
  <c r="AK57" i="2"/>
  <c r="AQ57" i="2"/>
  <c r="AW57" i="2"/>
  <c r="BC57" i="2"/>
  <c r="BI57" i="2"/>
  <c r="BO57" i="2"/>
  <c r="BU57" i="2"/>
  <c r="S66" i="2"/>
  <c r="Y66" i="2"/>
  <c r="AE66" i="2"/>
  <c r="AK66" i="2"/>
  <c r="AQ66" i="2"/>
  <c r="AW66" i="2"/>
  <c r="BC66" i="2"/>
  <c r="BO66" i="2"/>
  <c r="BU66" i="2"/>
  <c r="S231" i="2"/>
  <c r="Y231" i="2"/>
  <c r="AE231" i="2"/>
  <c r="AK231" i="2"/>
  <c r="AQ231" i="2"/>
  <c r="AW231" i="2"/>
  <c r="BC231" i="2"/>
  <c r="BI231" i="2"/>
  <c r="BO231" i="2"/>
  <c r="BU231" i="2"/>
  <c r="S232" i="2"/>
  <c r="Y232" i="2"/>
  <c r="AE232" i="2"/>
  <c r="AK232" i="2"/>
  <c r="AQ232" i="2"/>
  <c r="AW232" i="2"/>
  <c r="BC232" i="2"/>
  <c r="BI232" i="2"/>
  <c r="BO232" i="2"/>
  <c r="BU232" i="2"/>
  <c r="S88" i="2"/>
  <c r="Y88" i="2"/>
  <c r="AE88" i="2"/>
  <c r="AK88" i="2"/>
  <c r="AQ88" i="2"/>
  <c r="AW88" i="2"/>
  <c r="BC88" i="2"/>
  <c r="BI88" i="2"/>
  <c r="BO88" i="2"/>
  <c r="S92" i="2"/>
  <c r="Y92" i="2"/>
  <c r="AE92" i="2"/>
  <c r="AK92" i="2"/>
  <c r="AQ92" i="2"/>
  <c r="AW92" i="2"/>
  <c r="BC92" i="2"/>
  <c r="BI92" i="2"/>
  <c r="BO92" i="2"/>
  <c r="BU92" i="2"/>
  <c r="S130" i="2"/>
  <c r="Y130" i="2"/>
  <c r="AE130" i="2"/>
  <c r="AK130" i="2"/>
  <c r="AQ130" i="2"/>
  <c r="AW130" i="2"/>
  <c r="BC130" i="2"/>
  <c r="BI130" i="2"/>
  <c r="BO130" i="2"/>
  <c r="BU130" i="2"/>
  <c r="S149" i="2"/>
  <c r="AE149" i="2"/>
  <c r="AK149" i="2"/>
  <c r="AQ149" i="2"/>
  <c r="AW149" i="2"/>
  <c r="BC149" i="2"/>
  <c r="BI149" i="2"/>
  <c r="BO149" i="2"/>
  <c r="S170" i="2"/>
  <c r="AE170" i="2"/>
  <c r="AK170" i="2"/>
  <c r="AQ170" i="2"/>
  <c r="AW170" i="2"/>
  <c r="BC170" i="2"/>
  <c r="BI170" i="2"/>
  <c r="BO170" i="2"/>
  <c r="S247" i="2"/>
  <c r="S5" i="2"/>
  <c r="Y5" i="2"/>
  <c r="AE5" i="2"/>
  <c r="AK5" i="2"/>
  <c r="AQ5" i="2"/>
  <c r="AW5" i="2"/>
  <c r="BC5" i="2"/>
  <c r="BI5" i="2"/>
  <c r="BO5" i="2"/>
  <c r="BU5" i="2"/>
  <c r="S72" i="2"/>
  <c r="Y72" i="2"/>
  <c r="AE72" i="2"/>
  <c r="AK72" i="2"/>
  <c r="AQ72" i="2"/>
  <c r="AW72" i="2"/>
  <c r="BC72" i="2"/>
  <c r="BI72" i="2"/>
  <c r="BO72" i="2"/>
  <c r="BU72" i="2"/>
  <c r="S56" i="2"/>
  <c r="Y56" i="2"/>
  <c r="AE56" i="2"/>
  <c r="AK56" i="2"/>
  <c r="AQ56" i="2"/>
  <c r="AW56" i="2"/>
  <c r="BC56" i="2"/>
  <c r="BI56" i="2"/>
  <c r="BO56" i="2"/>
  <c r="BU56" i="2"/>
  <c r="S62" i="2"/>
  <c r="Y62" i="2"/>
  <c r="AE62" i="2"/>
  <c r="AK62" i="2"/>
  <c r="AQ62" i="2"/>
  <c r="AW62" i="2"/>
  <c r="BC62" i="2"/>
  <c r="BI62" i="2"/>
  <c r="BO62" i="2"/>
  <c r="BU62" i="2"/>
  <c r="S126" i="2"/>
  <c r="AE126" i="2"/>
  <c r="AK126" i="2"/>
  <c r="AQ126" i="2"/>
  <c r="AW126" i="2"/>
  <c r="BC126" i="2"/>
  <c r="BI126" i="2"/>
  <c r="BO126" i="2"/>
  <c r="BU126" i="2"/>
  <c r="S80" i="2"/>
  <c r="Y80" i="2"/>
  <c r="AE80" i="2"/>
  <c r="AK80" i="2"/>
  <c r="AQ80" i="2"/>
  <c r="AW80" i="2"/>
  <c r="BC80" i="2"/>
  <c r="BI80" i="2"/>
  <c r="BO80" i="2"/>
  <c r="BU80" i="2"/>
  <c r="Y22" i="2"/>
  <c r="AE22" i="2"/>
  <c r="AK22" i="2"/>
  <c r="AQ22" i="2"/>
  <c r="AW22" i="2"/>
  <c r="BC22" i="2"/>
  <c r="BI22" i="2"/>
  <c r="BO22" i="2"/>
  <c r="BU22" i="2"/>
  <c r="S190" i="2"/>
  <c r="Y190" i="2"/>
  <c r="AE190" i="2"/>
  <c r="AK190" i="2"/>
  <c r="AQ190" i="2"/>
  <c r="AW190" i="2"/>
  <c r="BC190" i="2"/>
  <c r="BI190" i="2"/>
  <c r="BO190" i="2"/>
  <c r="BU190" i="2"/>
  <c r="S70" i="2"/>
  <c r="Y70" i="2"/>
  <c r="AE70" i="2"/>
  <c r="AK70" i="2"/>
  <c r="AQ70" i="2"/>
  <c r="AW70" i="2"/>
  <c r="BC70" i="2"/>
  <c r="BI70" i="2"/>
  <c r="BO70" i="2"/>
  <c r="BU70" i="2"/>
  <c r="S73" i="2"/>
  <c r="Y73" i="2"/>
  <c r="AE73" i="2"/>
  <c r="AK73" i="2"/>
  <c r="AQ73" i="2"/>
  <c r="AW73" i="2"/>
  <c r="BC73" i="2"/>
  <c r="BI73" i="2"/>
  <c r="BO73" i="2"/>
  <c r="BU73" i="2"/>
  <c r="S77" i="2"/>
  <c r="Y77" i="2"/>
  <c r="AE77" i="2"/>
  <c r="AK77" i="2"/>
  <c r="AQ77" i="2"/>
  <c r="AW77" i="2"/>
  <c r="BC77" i="2"/>
  <c r="BI77" i="2"/>
  <c r="BO77" i="2"/>
  <c r="BU77" i="2"/>
  <c r="S191" i="2"/>
  <c r="Y191" i="2"/>
  <c r="AE191" i="2"/>
  <c r="AK191" i="2"/>
  <c r="AQ191" i="2"/>
  <c r="AW191" i="2"/>
  <c r="BC191" i="2"/>
  <c r="BI191" i="2"/>
  <c r="BO191" i="2"/>
  <c r="BU191" i="2"/>
  <c r="S159" i="2"/>
  <c r="Y159" i="2"/>
  <c r="AE159" i="2"/>
  <c r="AK159" i="2"/>
  <c r="AQ159" i="2"/>
  <c r="AW159" i="2"/>
  <c r="BC159" i="2"/>
  <c r="BI159" i="2"/>
  <c r="BO159" i="2"/>
  <c r="BU159" i="2"/>
  <c r="S97" i="2"/>
  <c r="Y97" i="2"/>
  <c r="AE97" i="2"/>
  <c r="AK97" i="2"/>
  <c r="AQ97" i="2"/>
  <c r="AW97" i="2"/>
  <c r="BC97" i="2"/>
  <c r="BI97" i="2"/>
  <c r="BO97" i="2"/>
  <c r="BU97" i="2"/>
  <c r="S192" i="2"/>
  <c r="Y192" i="2"/>
  <c r="AE192" i="2"/>
  <c r="AK192" i="2"/>
  <c r="AQ192" i="2"/>
  <c r="AW192" i="2"/>
  <c r="BC192" i="2"/>
  <c r="BI192" i="2"/>
  <c r="BO192" i="2"/>
  <c r="BU192" i="2"/>
  <c r="S193" i="2"/>
  <c r="Y193" i="2"/>
  <c r="AE193" i="2"/>
  <c r="AK193" i="2"/>
  <c r="AQ193" i="2"/>
  <c r="AW193" i="2"/>
  <c r="BC193" i="2"/>
  <c r="BI193" i="2"/>
  <c r="BO193" i="2"/>
  <c r="BU193" i="2"/>
  <c r="S194" i="2"/>
  <c r="Y194" i="2"/>
  <c r="AE194" i="2"/>
  <c r="AK194" i="2"/>
  <c r="AQ194" i="2"/>
  <c r="AW194" i="2"/>
  <c r="BC194" i="2"/>
  <c r="BI194" i="2"/>
  <c r="BO194" i="2"/>
  <c r="BU194" i="2"/>
  <c r="S139" i="2"/>
  <c r="Y139" i="2"/>
  <c r="AE139" i="2"/>
  <c r="AK139" i="2"/>
  <c r="AQ139" i="2"/>
  <c r="AW139" i="2"/>
  <c r="BC139" i="2"/>
  <c r="BI139" i="2"/>
  <c r="BO139" i="2"/>
  <c r="BU139" i="2"/>
  <c r="S236" i="2"/>
  <c r="Y236" i="2"/>
  <c r="AE236" i="2"/>
  <c r="AK236" i="2"/>
  <c r="AQ236" i="2"/>
  <c r="AW236" i="2"/>
  <c r="BC236" i="2"/>
  <c r="BI236" i="2"/>
  <c r="BO236" i="2"/>
  <c r="BU236" i="2"/>
  <c r="S175" i="2"/>
  <c r="Y175" i="2"/>
  <c r="AE175" i="2"/>
  <c r="AK175" i="2"/>
  <c r="AQ175" i="2"/>
  <c r="AW175" i="2"/>
  <c r="BC175" i="2"/>
  <c r="BI175" i="2"/>
  <c r="BO175" i="2"/>
  <c r="BU175" i="2"/>
  <c r="S58" i="2"/>
  <c r="Y58" i="2"/>
  <c r="AE58" i="2"/>
  <c r="AK58" i="2"/>
  <c r="AQ58" i="2"/>
  <c r="AW58" i="2"/>
  <c r="BC58" i="2"/>
  <c r="BI58" i="2"/>
  <c r="BO58" i="2"/>
  <c r="BU58" i="2"/>
  <c r="S243" i="2"/>
  <c r="Y243" i="2"/>
  <c r="AE243" i="2"/>
  <c r="AK243" i="2"/>
  <c r="AQ243" i="2"/>
  <c r="AW243" i="2"/>
  <c r="BC243" i="2"/>
  <c r="BI243" i="2"/>
  <c r="BO243" i="2"/>
  <c r="BU243" i="2"/>
  <c r="S14" i="2"/>
  <c r="Y14" i="2"/>
  <c r="AE14" i="2"/>
  <c r="AK14" i="2"/>
  <c r="AQ14" i="2"/>
  <c r="AW14" i="2"/>
  <c r="BC14" i="2"/>
  <c r="BI14" i="2"/>
  <c r="BO14" i="2"/>
  <c r="BU14" i="2"/>
  <c r="Y25" i="2"/>
  <c r="AE25" i="2"/>
  <c r="AK25" i="2"/>
  <c r="AQ25" i="2"/>
  <c r="AW25" i="2"/>
  <c r="BC25" i="2"/>
  <c r="BI25" i="2"/>
  <c r="BO25" i="2"/>
  <c r="BU25" i="2"/>
  <c r="S45" i="2"/>
  <c r="Y45" i="2"/>
  <c r="AE45" i="2"/>
  <c r="AK45" i="2"/>
  <c r="AQ45" i="2"/>
  <c r="AW45" i="2"/>
  <c r="BC45" i="2"/>
  <c r="BI45" i="2"/>
  <c r="BO45" i="2"/>
  <c r="BU45" i="2"/>
  <c r="S46" i="2"/>
  <c r="Y46" i="2"/>
  <c r="AE46" i="2"/>
  <c r="AK46" i="2"/>
  <c r="AQ46" i="2"/>
  <c r="AW46" i="2"/>
  <c r="BC46" i="2"/>
  <c r="BI46" i="2"/>
  <c r="BO46" i="2"/>
  <c r="BU46" i="2"/>
  <c r="S51" i="2"/>
  <c r="Y51" i="2"/>
  <c r="AE51" i="2"/>
  <c r="AK51" i="2"/>
  <c r="AQ51" i="2"/>
  <c r="AW51" i="2"/>
  <c r="BC51" i="2"/>
  <c r="BI51" i="2"/>
  <c r="BO51" i="2"/>
  <c r="BU51" i="2"/>
  <c r="S68" i="2"/>
  <c r="Y68" i="2"/>
  <c r="AE68" i="2"/>
  <c r="AK68" i="2"/>
  <c r="AQ68" i="2"/>
  <c r="AW68" i="2"/>
  <c r="BC68" i="2"/>
  <c r="BI68" i="2"/>
  <c r="BO68" i="2"/>
  <c r="BU68" i="2"/>
  <c r="S87" i="2"/>
  <c r="Y87" i="2"/>
  <c r="AE87" i="2"/>
  <c r="AK87" i="2"/>
  <c r="AQ87" i="2"/>
  <c r="AW87" i="2"/>
  <c r="BC87" i="2"/>
  <c r="BI87" i="2"/>
  <c r="BO87" i="2"/>
  <c r="BU87" i="2"/>
  <c r="S74" i="2"/>
  <c r="Y74" i="2"/>
  <c r="AE74" i="2"/>
  <c r="AK74" i="2"/>
  <c r="AQ74" i="2"/>
  <c r="AW74" i="2"/>
  <c r="BC74" i="2"/>
  <c r="BI74" i="2"/>
  <c r="BO74" i="2"/>
  <c r="BU74" i="2"/>
  <c r="S195" i="2"/>
  <c r="Y195" i="2"/>
  <c r="AE195" i="2"/>
  <c r="AK195" i="2"/>
  <c r="AQ195" i="2"/>
  <c r="AW195" i="2"/>
  <c r="BC195" i="2"/>
  <c r="BI195" i="2"/>
  <c r="BO195" i="2"/>
  <c r="BU195" i="2"/>
  <c r="S114" i="2"/>
  <c r="Y114" i="2"/>
  <c r="AE114" i="2"/>
  <c r="AK114" i="2"/>
  <c r="AQ114" i="2"/>
  <c r="AW114" i="2"/>
  <c r="BC114" i="2"/>
  <c r="BI114" i="2"/>
  <c r="BO114" i="2"/>
  <c r="BU114" i="2"/>
  <c r="S196" i="2"/>
  <c r="Y196" i="2"/>
  <c r="AE196" i="2"/>
  <c r="AK196" i="2"/>
  <c r="AQ196" i="2"/>
  <c r="AW196" i="2"/>
  <c r="BC196" i="2"/>
  <c r="BI196" i="2"/>
  <c r="BO196" i="2"/>
  <c r="BU196" i="2"/>
  <c r="S123" i="2"/>
  <c r="Y123" i="2"/>
  <c r="AE123" i="2"/>
  <c r="AK123" i="2"/>
  <c r="AQ123" i="2"/>
  <c r="AW123" i="2"/>
  <c r="BC123" i="2"/>
  <c r="BI123" i="2"/>
  <c r="BO123" i="2"/>
  <c r="BU123" i="2"/>
  <c r="S124" i="2"/>
  <c r="Y124" i="2"/>
  <c r="AE124" i="2"/>
  <c r="AK124" i="2"/>
  <c r="AQ124" i="2"/>
  <c r="AW124" i="2"/>
  <c r="BC124" i="2"/>
  <c r="BI124" i="2"/>
  <c r="BO124" i="2"/>
  <c r="BU124" i="2"/>
  <c r="S198" i="2"/>
  <c r="Y198" i="2"/>
  <c r="AE198" i="2"/>
  <c r="AK198" i="2"/>
  <c r="AQ198" i="2"/>
  <c r="AW198" i="2"/>
  <c r="BC198" i="2"/>
  <c r="BI198" i="2"/>
  <c r="BO198" i="2"/>
  <c r="BU198" i="2"/>
  <c r="S148" i="2"/>
  <c r="Y148" i="2"/>
  <c r="AE148" i="2"/>
  <c r="AK148" i="2"/>
  <c r="AQ148" i="2"/>
  <c r="AW148" i="2"/>
  <c r="BC148" i="2"/>
  <c r="BI148" i="2"/>
  <c r="BO148" i="2"/>
  <c r="BU148" i="2"/>
  <c r="S241" i="2"/>
  <c r="Y241" i="2"/>
  <c r="AE241" i="2"/>
  <c r="AK241" i="2"/>
  <c r="AQ241" i="2"/>
  <c r="AW241" i="2"/>
  <c r="BC241" i="2"/>
  <c r="BI241" i="2"/>
  <c r="BO241" i="2"/>
  <c r="BU241" i="2"/>
  <c r="S47" i="2"/>
  <c r="Y47" i="2"/>
  <c r="AE47" i="2"/>
  <c r="AK47" i="2"/>
  <c r="AQ47" i="2"/>
  <c r="AW47" i="2"/>
  <c r="BC47" i="2"/>
  <c r="BI47" i="2"/>
  <c r="BO47" i="2"/>
  <c r="BU47" i="2"/>
  <c r="S179" i="2"/>
  <c r="Y179" i="2"/>
  <c r="AE179" i="2"/>
  <c r="AK179" i="2"/>
  <c r="AQ179" i="2"/>
  <c r="AW179" i="2"/>
  <c r="BC179" i="2"/>
  <c r="BI179" i="2"/>
  <c r="BO179" i="2"/>
  <c r="BU179" i="2"/>
  <c r="S244" i="2"/>
  <c r="Y244" i="2"/>
  <c r="AE244" i="2"/>
  <c r="AK244" i="2"/>
  <c r="AQ244" i="2"/>
  <c r="AW244" i="2"/>
  <c r="BC244" i="2"/>
  <c r="BI244" i="2"/>
  <c r="BO244" i="2"/>
  <c r="BU244" i="2"/>
  <c r="S185" i="2"/>
  <c r="Y185" i="2"/>
  <c r="AE185" i="2"/>
  <c r="AK185" i="2"/>
  <c r="AQ185" i="2"/>
  <c r="AW185" i="2"/>
  <c r="BC185" i="2"/>
  <c r="BI185" i="2"/>
  <c r="BO185" i="2"/>
  <c r="BU185" i="2"/>
  <c r="S76" i="2"/>
  <c r="Y76" i="2"/>
  <c r="AE76" i="2"/>
  <c r="AK76" i="2"/>
  <c r="AQ76" i="2"/>
  <c r="AW76" i="2"/>
  <c r="BC76" i="2"/>
  <c r="BI76" i="2"/>
  <c r="BO76" i="2"/>
  <c r="BU76" i="2"/>
  <c r="S6" i="2"/>
  <c r="Y6" i="2"/>
  <c r="AE6" i="2"/>
  <c r="AK6" i="2"/>
  <c r="AQ6" i="2"/>
  <c r="AW6" i="2"/>
  <c r="BC6" i="2"/>
  <c r="BI6" i="2"/>
  <c r="BO6" i="2"/>
  <c r="BU6" i="2"/>
  <c r="S7" i="2"/>
  <c r="Y7" i="2"/>
  <c r="AE7" i="2"/>
  <c r="AK7" i="2"/>
  <c r="AQ7" i="2"/>
  <c r="AW7" i="2"/>
  <c r="BC7" i="2"/>
  <c r="BI7" i="2"/>
  <c r="BO7" i="2"/>
  <c r="BU7" i="2"/>
  <c r="S211" i="2"/>
  <c r="Y211" i="2"/>
  <c r="AE211" i="2"/>
  <c r="AK211" i="2"/>
  <c r="AQ211" i="2"/>
  <c r="AW211" i="2"/>
  <c r="BC211" i="2"/>
  <c r="BI211" i="2"/>
  <c r="BO211" i="2"/>
  <c r="BU211" i="2"/>
  <c r="S125" i="2"/>
  <c r="Y125" i="2"/>
  <c r="AE125" i="2"/>
  <c r="AK125" i="2"/>
  <c r="AQ125" i="2"/>
  <c r="AW125" i="2"/>
  <c r="BC125" i="2"/>
  <c r="BI125" i="2"/>
  <c r="BO125" i="2"/>
  <c r="BU125" i="2"/>
  <c r="S144" i="2"/>
  <c r="Y144" i="2"/>
  <c r="AE144" i="2"/>
  <c r="AK144" i="2"/>
  <c r="AQ144" i="2"/>
  <c r="AW144" i="2"/>
  <c r="BC144" i="2"/>
  <c r="BI144" i="2"/>
  <c r="BO144" i="2"/>
  <c r="BU144" i="2"/>
  <c r="S155" i="2"/>
  <c r="Y155" i="2"/>
  <c r="AE155" i="2"/>
  <c r="AK155" i="2"/>
  <c r="AQ155" i="2"/>
  <c r="AW155" i="2"/>
  <c r="BC155" i="2"/>
  <c r="BI155" i="2"/>
  <c r="BO155" i="2"/>
  <c r="BU155" i="2"/>
  <c r="S169" i="2"/>
  <c r="Y169" i="2"/>
  <c r="AE169" i="2"/>
  <c r="AK169" i="2"/>
  <c r="AQ169" i="2"/>
  <c r="AW169" i="2"/>
  <c r="BC169" i="2"/>
  <c r="BI169" i="2"/>
  <c r="BO169" i="2"/>
  <c r="BU169" i="2"/>
  <c r="S84" i="2"/>
  <c r="Y84" i="2"/>
  <c r="AE84" i="2"/>
  <c r="AK84" i="2"/>
  <c r="AQ84" i="2"/>
  <c r="AW84" i="2"/>
  <c r="BC84" i="2"/>
  <c r="BI84" i="2"/>
  <c r="BO84" i="2"/>
  <c r="BU84" i="2"/>
  <c r="S235" i="2"/>
  <c r="Y235" i="2"/>
  <c r="AE235" i="2"/>
  <c r="AK235" i="2"/>
  <c r="AQ235" i="2"/>
  <c r="AW235" i="2"/>
  <c r="BC235" i="2"/>
  <c r="BI235" i="2"/>
  <c r="BO235" i="2"/>
  <c r="BU235" i="2"/>
  <c r="S39" i="2"/>
  <c r="AE39" i="2"/>
  <c r="AK39" i="2"/>
  <c r="AQ39" i="2"/>
  <c r="AW39" i="2"/>
  <c r="BC39" i="2"/>
  <c r="BI39" i="2"/>
  <c r="BO39" i="2"/>
  <c r="BU39" i="2"/>
  <c r="S15" i="2"/>
  <c r="S199" i="2"/>
  <c r="S49" i="2"/>
  <c r="S41" i="2"/>
  <c r="S200" i="2"/>
  <c r="S11" i="2"/>
  <c r="S201" i="2"/>
  <c r="S71" i="2"/>
  <c r="S202" i="2"/>
  <c r="S75" i="2"/>
  <c r="S203" i="2"/>
  <c r="S83" i="2"/>
  <c r="S122" i="2"/>
  <c r="S204" i="2"/>
  <c r="S110" i="2"/>
  <c r="S205" i="2"/>
  <c r="S206" i="2"/>
  <c r="S207" i="2"/>
  <c r="S117" i="2"/>
  <c r="S129" i="2"/>
  <c r="S128" i="2"/>
  <c r="S131" i="2"/>
  <c r="S133" i="2"/>
  <c r="S208" i="2"/>
  <c r="S140" i="2"/>
  <c r="S142" i="2"/>
  <c r="S137" i="2"/>
  <c r="S209" i="2"/>
  <c r="S213" i="2"/>
  <c r="S210" i="2"/>
  <c r="S238" i="2"/>
  <c r="S166" i="2"/>
  <c r="S167" i="2"/>
  <c r="S239" i="2"/>
  <c r="S240" i="2"/>
  <c r="S184" i="2"/>
  <c r="S245" i="2"/>
  <c r="S12" i="2"/>
  <c r="S214" i="2"/>
  <c r="S16" i="2"/>
  <c r="S18" i="2"/>
  <c r="S215" i="2"/>
  <c r="S26" i="2"/>
  <c r="S28" i="2"/>
  <c r="S40" i="2"/>
  <c r="S42" i="2"/>
  <c r="S63" i="2"/>
  <c r="S67" i="2"/>
  <c r="S182" i="2"/>
  <c r="S79" i="2"/>
  <c r="S81" i="2"/>
  <c r="S82" i="2"/>
  <c r="S90" i="2"/>
  <c r="S95" i="2"/>
  <c r="S96" i="2"/>
  <c r="S98" i="2"/>
  <c r="S216" i="2"/>
  <c r="S101" i="2"/>
  <c r="S220" i="2"/>
  <c r="S217" i="2"/>
  <c r="S218" i="2"/>
  <c r="S143" i="2"/>
  <c r="S219" i="2"/>
  <c r="S105" i="2"/>
  <c r="S237" i="2"/>
  <c r="S33" i="2"/>
  <c r="S165" i="2"/>
  <c r="S173" i="2"/>
  <c r="S242" i="2"/>
  <c r="S177" i="2"/>
  <c r="S178" i="2"/>
  <c r="S180" i="2"/>
  <c r="S181" i="2"/>
  <c r="S189" i="2"/>
  <c r="S246" i="2"/>
  <c r="S8" i="2"/>
  <c r="S221" i="2"/>
  <c r="S17" i="2"/>
  <c r="S32" i="2"/>
  <c r="S222" i="2"/>
  <c r="S55" i="2"/>
  <c r="S224" i="2"/>
  <c r="S132" i="2"/>
  <c r="S225" i="2"/>
  <c r="S94" i="2"/>
  <c r="S102" i="2"/>
  <c r="S226" i="2"/>
  <c r="S227" i="2"/>
  <c r="S118" i="2"/>
  <c r="S228" i="2"/>
  <c r="S147" i="2"/>
  <c r="S229" i="2"/>
  <c r="S230" i="2"/>
  <c r="S233" i="2"/>
  <c r="S150" i="2"/>
  <c r="S234" i="2"/>
  <c r="S188" i="2"/>
  <c r="Y15" i="2"/>
  <c r="Y199" i="2"/>
  <c r="Y49" i="2"/>
  <c r="Y41" i="2"/>
  <c r="Y200" i="2"/>
  <c r="Y11" i="2"/>
  <c r="Y201" i="2"/>
  <c r="Y71" i="2"/>
  <c r="Y202" i="2"/>
  <c r="Y75" i="2"/>
  <c r="Y203" i="2"/>
  <c r="Y83" i="2"/>
  <c r="Y122" i="2"/>
  <c r="Y204" i="2"/>
  <c r="Y110" i="2"/>
  <c r="Y205" i="2"/>
  <c r="Y206" i="2"/>
  <c r="Y207" i="2"/>
  <c r="Y117" i="2"/>
  <c r="Y129" i="2"/>
  <c r="Y128" i="2"/>
  <c r="Y131" i="2"/>
  <c r="Y133" i="2"/>
  <c r="Y208" i="2"/>
  <c r="Y140" i="2"/>
  <c r="Y142" i="2"/>
  <c r="Y137" i="2"/>
  <c r="Y209" i="2"/>
  <c r="Y213" i="2"/>
  <c r="Y210" i="2"/>
  <c r="Y238" i="2"/>
  <c r="Y166" i="2"/>
  <c r="Y167" i="2"/>
  <c r="Y239" i="2"/>
  <c r="Y240" i="2"/>
  <c r="Y184" i="2"/>
  <c r="Y245" i="2"/>
  <c r="Y12" i="2"/>
  <c r="Y214" i="2"/>
  <c r="Y16" i="2"/>
  <c r="Y18" i="2"/>
  <c r="Y215" i="2"/>
  <c r="Y26" i="2"/>
  <c r="Y28" i="2"/>
  <c r="Y40" i="2"/>
  <c r="Y42" i="2"/>
  <c r="Y63" i="2"/>
  <c r="Y67" i="2"/>
  <c r="Y182" i="2"/>
  <c r="Y79" i="2"/>
  <c r="Y81" i="2"/>
  <c r="Y82" i="2"/>
  <c r="Y90" i="2"/>
  <c r="Y95" i="2"/>
  <c r="Y96" i="2"/>
  <c r="Y98" i="2"/>
  <c r="Y216" i="2"/>
  <c r="Y101" i="2"/>
  <c r="Y220" i="2"/>
  <c r="Y217" i="2"/>
  <c r="Y218" i="2"/>
  <c r="Y143" i="2"/>
  <c r="Y219" i="2"/>
  <c r="Y105" i="2"/>
  <c r="Y237" i="2"/>
  <c r="Y33" i="2"/>
  <c r="Y165" i="2"/>
  <c r="Y173" i="2"/>
  <c r="Y242" i="2"/>
  <c r="Y177" i="2"/>
  <c r="Y178" i="2"/>
  <c r="Y180" i="2"/>
  <c r="Y181" i="2"/>
  <c r="Y189" i="2"/>
  <c r="Y246" i="2"/>
  <c r="Y221" i="2"/>
  <c r="Y17" i="2"/>
  <c r="Y21" i="2"/>
  <c r="Y32" i="2"/>
  <c r="Y222" i="2"/>
  <c r="Y224" i="2"/>
  <c r="Y132" i="2"/>
  <c r="Y225" i="2"/>
  <c r="Y94" i="2"/>
  <c r="Y102" i="2"/>
  <c r="Y226" i="2"/>
  <c r="Y227" i="2"/>
  <c r="Y118" i="2"/>
  <c r="Y228" i="2"/>
  <c r="Y147" i="2"/>
  <c r="Y229" i="2"/>
  <c r="Y230" i="2"/>
  <c r="Y233" i="2"/>
  <c r="Y150" i="2"/>
  <c r="Y234" i="2"/>
  <c r="Y163" i="2"/>
  <c r="Y188" i="2"/>
  <c r="AE15" i="2"/>
  <c r="AE199" i="2"/>
  <c r="AE49" i="2"/>
  <c r="AE41" i="2"/>
  <c r="AE200" i="2"/>
  <c r="AE11" i="2"/>
  <c r="AE201" i="2"/>
  <c r="AE71" i="2"/>
  <c r="AE202" i="2"/>
  <c r="AE75" i="2"/>
  <c r="AE203" i="2"/>
  <c r="AE83" i="2"/>
  <c r="AE122" i="2"/>
  <c r="AE204" i="2"/>
  <c r="AE110" i="2"/>
  <c r="AE205" i="2"/>
  <c r="AE206" i="2"/>
  <c r="AE207" i="2"/>
  <c r="AE117" i="2"/>
  <c r="AE129" i="2"/>
  <c r="AE128" i="2"/>
  <c r="AE131" i="2"/>
  <c r="AE133" i="2"/>
  <c r="AE208" i="2"/>
  <c r="AE140" i="2"/>
  <c r="AE142" i="2"/>
  <c r="AE137" i="2"/>
  <c r="AE209" i="2"/>
  <c r="AE213" i="2"/>
  <c r="AE210" i="2"/>
  <c r="AE238" i="2"/>
  <c r="AE166" i="2"/>
  <c r="AE167" i="2"/>
  <c r="AE239" i="2"/>
  <c r="AE240" i="2"/>
  <c r="AE184" i="2"/>
  <c r="AE245" i="2"/>
  <c r="AE12" i="2"/>
  <c r="AE214" i="2"/>
  <c r="AE16" i="2"/>
  <c r="AE18" i="2"/>
  <c r="AE215" i="2"/>
  <c r="AE26" i="2"/>
  <c r="AE28" i="2"/>
  <c r="AE40" i="2"/>
  <c r="AE42" i="2"/>
  <c r="AE63" i="2"/>
  <c r="AE67" i="2"/>
  <c r="AE182" i="2"/>
  <c r="AE79" i="2"/>
  <c r="AE81" i="2"/>
  <c r="AE82" i="2"/>
  <c r="AE90" i="2"/>
  <c r="AE95" i="2"/>
  <c r="AE96" i="2"/>
  <c r="AE98" i="2"/>
  <c r="AE216" i="2"/>
  <c r="AE101" i="2"/>
  <c r="AE220" i="2"/>
  <c r="AE217" i="2"/>
  <c r="AE218" i="2"/>
  <c r="AE143" i="2"/>
  <c r="AE219" i="2"/>
  <c r="AE105" i="2"/>
  <c r="AE237" i="2"/>
  <c r="AE33" i="2"/>
  <c r="AE165" i="2"/>
  <c r="AE173" i="2"/>
  <c r="AE242" i="2"/>
  <c r="AE177" i="2"/>
  <c r="AE178" i="2"/>
  <c r="AE180" i="2"/>
  <c r="AE181" i="2"/>
  <c r="AE189" i="2"/>
  <c r="AE246" i="2"/>
  <c r="AE8" i="2"/>
  <c r="AE221" i="2"/>
  <c r="AE17" i="2"/>
  <c r="AE21" i="2"/>
  <c r="AE32" i="2"/>
  <c r="AE222" i="2"/>
  <c r="AE55" i="2"/>
  <c r="AE224" i="2"/>
  <c r="AE132" i="2"/>
  <c r="AE225" i="2"/>
  <c r="AE94" i="2"/>
  <c r="AE102" i="2"/>
  <c r="AE226" i="2"/>
  <c r="AE227" i="2"/>
  <c r="AE118" i="2"/>
  <c r="AE228" i="2"/>
  <c r="AE147" i="2"/>
  <c r="AE229" i="2"/>
  <c r="AE230" i="2"/>
  <c r="AE233" i="2"/>
  <c r="AE150" i="2"/>
  <c r="AE234" i="2"/>
  <c r="AE163" i="2"/>
  <c r="AE188" i="2"/>
  <c r="AK15" i="2"/>
  <c r="AK199" i="2"/>
  <c r="AK49" i="2"/>
  <c r="AK41" i="2"/>
  <c r="AK200" i="2"/>
  <c r="AK11" i="2"/>
  <c r="AK201" i="2"/>
  <c r="AK71" i="2"/>
  <c r="AK202" i="2"/>
  <c r="AK75" i="2"/>
  <c r="AK203" i="2"/>
  <c r="AK83" i="2"/>
  <c r="AK122" i="2"/>
  <c r="AK204" i="2"/>
  <c r="AK110" i="2"/>
  <c r="AK205" i="2"/>
  <c r="AK206" i="2"/>
  <c r="AK207" i="2"/>
  <c r="AK117" i="2"/>
  <c r="AK129" i="2"/>
  <c r="AK128" i="2"/>
  <c r="AK131" i="2"/>
  <c r="AK133" i="2"/>
  <c r="AK208" i="2"/>
  <c r="AK140" i="2"/>
  <c r="AK142" i="2"/>
  <c r="AK137" i="2"/>
  <c r="AK209" i="2"/>
  <c r="AK213" i="2"/>
  <c r="AK210" i="2"/>
  <c r="AK238" i="2"/>
  <c r="AK166" i="2"/>
  <c r="AK167" i="2"/>
  <c r="AK239" i="2"/>
  <c r="AK240" i="2"/>
  <c r="AK184" i="2"/>
  <c r="AK245" i="2"/>
  <c r="AK12" i="2"/>
  <c r="AK214" i="2"/>
  <c r="AK16" i="2"/>
  <c r="AK18" i="2"/>
  <c r="AK215" i="2"/>
  <c r="AK26" i="2"/>
  <c r="AK28" i="2"/>
  <c r="AK40" i="2"/>
  <c r="AK42" i="2"/>
  <c r="AK63" i="2"/>
  <c r="AK67" i="2"/>
  <c r="AK182" i="2"/>
  <c r="AK79" i="2"/>
  <c r="AK81" i="2"/>
  <c r="AK82" i="2"/>
  <c r="AK90" i="2"/>
  <c r="AK95" i="2"/>
  <c r="AK96" i="2"/>
  <c r="AK98" i="2"/>
  <c r="AK216" i="2"/>
  <c r="AK101" i="2"/>
  <c r="AK220" i="2"/>
  <c r="AK217" i="2"/>
  <c r="AK218" i="2"/>
  <c r="AK143" i="2"/>
  <c r="AK219" i="2"/>
  <c r="AK105" i="2"/>
  <c r="AK237" i="2"/>
  <c r="AK33" i="2"/>
  <c r="AK165" i="2"/>
  <c r="AK173" i="2"/>
  <c r="AK242" i="2"/>
  <c r="AK177" i="2"/>
  <c r="AK178" i="2"/>
  <c r="AK180" i="2"/>
  <c r="AK181" i="2"/>
  <c r="AK189" i="2"/>
  <c r="AK246" i="2"/>
  <c r="AK8" i="2"/>
  <c r="AK221" i="2"/>
  <c r="AK17" i="2"/>
  <c r="AK21" i="2"/>
  <c r="AK32" i="2"/>
  <c r="AK222" i="2"/>
  <c r="AK55" i="2"/>
  <c r="AK224" i="2"/>
  <c r="AK132" i="2"/>
  <c r="AK225" i="2"/>
  <c r="AK94" i="2"/>
  <c r="AK102" i="2"/>
  <c r="AK226" i="2"/>
  <c r="AK227" i="2"/>
  <c r="AK118" i="2"/>
  <c r="AK228" i="2"/>
  <c r="AK147" i="2"/>
  <c r="AK229" i="2"/>
  <c r="AK230" i="2"/>
  <c r="AK233" i="2"/>
  <c r="AK150" i="2"/>
  <c r="AK234" i="2"/>
  <c r="AK163" i="2"/>
  <c r="AK188" i="2"/>
  <c r="AQ15" i="2"/>
  <c r="AQ199" i="2"/>
  <c r="AQ49" i="2"/>
  <c r="AQ41" i="2"/>
  <c r="AQ200" i="2"/>
  <c r="AQ11" i="2"/>
  <c r="AQ201" i="2"/>
  <c r="AQ71" i="2"/>
  <c r="AQ202" i="2"/>
  <c r="AQ75" i="2"/>
  <c r="AQ203" i="2"/>
  <c r="AQ83" i="2"/>
  <c r="AQ122" i="2"/>
  <c r="AQ204" i="2"/>
  <c r="AQ110" i="2"/>
  <c r="AQ205" i="2"/>
  <c r="AQ206" i="2"/>
  <c r="AQ207" i="2"/>
  <c r="AQ117" i="2"/>
  <c r="AQ129" i="2"/>
  <c r="AQ128" i="2"/>
  <c r="AQ131" i="2"/>
  <c r="AQ133" i="2"/>
  <c r="AQ208" i="2"/>
  <c r="AQ140" i="2"/>
  <c r="AQ142" i="2"/>
  <c r="AQ137" i="2"/>
  <c r="AQ209" i="2"/>
  <c r="AQ213" i="2"/>
  <c r="AQ210" i="2"/>
  <c r="AQ238" i="2"/>
  <c r="AQ166" i="2"/>
  <c r="AQ167" i="2"/>
  <c r="AQ239" i="2"/>
  <c r="AQ240" i="2"/>
  <c r="AQ184" i="2"/>
  <c r="AQ245" i="2"/>
  <c r="AQ12" i="2"/>
  <c r="AQ214" i="2"/>
  <c r="AQ16" i="2"/>
  <c r="AQ18" i="2"/>
  <c r="AQ215" i="2"/>
  <c r="AQ26" i="2"/>
  <c r="AQ28" i="2"/>
  <c r="AQ40" i="2"/>
  <c r="AQ42" i="2"/>
  <c r="AQ63" i="2"/>
  <c r="AQ67" i="2"/>
  <c r="AQ182" i="2"/>
  <c r="AQ79" i="2"/>
  <c r="AQ81" i="2"/>
  <c r="AQ82" i="2"/>
  <c r="AQ90" i="2"/>
  <c r="AQ95" i="2"/>
  <c r="AQ96" i="2"/>
  <c r="AQ98" i="2"/>
  <c r="AQ216" i="2"/>
  <c r="AQ101" i="2"/>
  <c r="AQ220" i="2"/>
  <c r="AQ217" i="2"/>
  <c r="AQ218" i="2"/>
  <c r="AQ143" i="2"/>
  <c r="AQ219" i="2"/>
  <c r="AQ105" i="2"/>
  <c r="AQ237" i="2"/>
  <c r="AQ33" i="2"/>
  <c r="AQ165" i="2"/>
  <c r="AQ173" i="2"/>
  <c r="AQ242" i="2"/>
  <c r="AQ177" i="2"/>
  <c r="AQ178" i="2"/>
  <c r="AQ180" i="2"/>
  <c r="AQ181" i="2"/>
  <c r="AQ189" i="2"/>
  <c r="AQ246" i="2"/>
  <c r="AQ8" i="2"/>
  <c r="AQ221" i="2"/>
  <c r="AQ17" i="2"/>
  <c r="AQ21" i="2"/>
  <c r="AQ32" i="2"/>
  <c r="AQ222" i="2"/>
  <c r="AQ55" i="2"/>
  <c r="AQ224" i="2"/>
  <c r="AQ132" i="2"/>
  <c r="AQ225" i="2"/>
  <c r="AQ94" i="2"/>
  <c r="AQ102" i="2"/>
  <c r="AQ226" i="2"/>
  <c r="AQ227" i="2"/>
  <c r="AQ118" i="2"/>
  <c r="AQ228" i="2"/>
  <c r="AQ147" i="2"/>
  <c r="AQ229" i="2"/>
  <c r="AQ230" i="2"/>
  <c r="AQ233" i="2"/>
  <c r="AQ150" i="2"/>
  <c r="AQ234" i="2"/>
  <c r="AQ163" i="2"/>
  <c r="AQ188" i="2"/>
  <c r="AW15" i="2"/>
  <c r="AW199" i="2"/>
  <c r="AW49" i="2"/>
  <c r="AW41" i="2"/>
  <c r="AW200" i="2"/>
  <c r="AW11" i="2"/>
  <c r="AW201" i="2"/>
  <c r="AW71" i="2"/>
  <c r="AW202" i="2"/>
  <c r="AW75" i="2"/>
  <c r="AW203" i="2"/>
  <c r="AW83" i="2"/>
  <c r="AW122" i="2"/>
  <c r="AW204" i="2"/>
  <c r="AW110" i="2"/>
  <c r="AW205" i="2"/>
  <c r="AW206" i="2"/>
  <c r="AW207" i="2"/>
  <c r="AW117" i="2"/>
  <c r="AW129" i="2"/>
  <c r="AW128" i="2"/>
  <c r="AW131" i="2"/>
  <c r="AW133" i="2"/>
  <c r="AW208" i="2"/>
  <c r="AW140" i="2"/>
  <c r="AW142" i="2"/>
  <c r="AW137" i="2"/>
  <c r="AW209" i="2"/>
  <c r="AW213" i="2"/>
  <c r="AW210" i="2"/>
  <c r="AW238" i="2"/>
  <c r="AW166" i="2"/>
  <c r="AW167" i="2"/>
  <c r="AW239" i="2"/>
  <c r="AW240" i="2"/>
  <c r="AW184" i="2"/>
  <c r="AW245" i="2"/>
  <c r="AW12" i="2"/>
  <c r="AW214" i="2"/>
  <c r="AW16" i="2"/>
  <c r="AW18" i="2"/>
  <c r="AW215" i="2"/>
  <c r="AW26" i="2"/>
  <c r="AW28" i="2"/>
  <c r="AW40" i="2"/>
  <c r="AW42" i="2"/>
  <c r="AW63" i="2"/>
  <c r="AW67" i="2"/>
  <c r="AW182" i="2"/>
  <c r="AW79" i="2"/>
  <c r="AW81" i="2"/>
  <c r="AW82" i="2"/>
  <c r="AW90" i="2"/>
  <c r="AW95" i="2"/>
  <c r="AW96" i="2"/>
  <c r="AW98" i="2"/>
  <c r="AW216" i="2"/>
  <c r="AW101" i="2"/>
  <c r="AW220" i="2"/>
  <c r="AW217" i="2"/>
  <c r="AW218" i="2"/>
  <c r="AW143" i="2"/>
  <c r="AW219" i="2"/>
  <c r="AW105" i="2"/>
  <c r="AW237" i="2"/>
  <c r="AW33" i="2"/>
  <c r="AW165" i="2"/>
  <c r="AW173" i="2"/>
  <c r="AW242" i="2"/>
  <c r="AW177" i="2"/>
  <c r="AW178" i="2"/>
  <c r="AW180" i="2"/>
  <c r="AW181" i="2"/>
  <c r="AW189" i="2"/>
  <c r="AW246" i="2"/>
  <c r="AW8" i="2"/>
  <c r="AW221" i="2"/>
  <c r="AW17" i="2"/>
  <c r="AW21" i="2"/>
  <c r="AW32" i="2"/>
  <c r="AW222" i="2"/>
  <c r="AW55" i="2"/>
  <c r="AW224" i="2"/>
  <c r="AW132" i="2"/>
  <c r="AW225" i="2"/>
  <c r="AW94" i="2"/>
  <c r="AW102" i="2"/>
  <c r="AW226" i="2"/>
  <c r="AW227" i="2"/>
  <c r="AW118" i="2"/>
  <c r="AW228" i="2"/>
  <c r="AW147" i="2"/>
  <c r="AW229" i="2"/>
  <c r="AW230" i="2"/>
  <c r="AW233" i="2"/>
  <c r="AW150" i="2"/>
  <c r="AW234" i="2"/>
  <c r="AW163" i="2"/>
  <c r="AW188" i="2"/>
  <c r="BC15" i="2"/>
  <c r="BC199" i="2"/>
  <c r="BC49" i="2"/>
  <c r="BC41" i="2"/>
  <c r="BC200" i="2"/>
  <c r="BC11" i="2"/>
  <c r="BC201" i="2"/>
  <c r="BC71" i="2"/>
  <c r="BC202" i="2"/>
  <c r="BC75" i="2"/>
  <c r="BC203" i="2"/>
  <c r="BC83" i="2"/>
  <c r="BC122" i="2"/>
  <c r="BC204" i="2"/>
  <c r="BC110" i="2"/>
  <c r="BC205" i="2"/>
  <c r="BC206" i="2"/>
  <c r="BC207" i="2"/>
  <c r="BC117" i="2"/>
  <c r="BC129" i="2"/>
  <c r="BC128" i="2"/>
  <c r="BC131" i="2"/>
  <c r="BC133" i="2"/>
  <c r="BC208" i="2"/>
  <c r="BC140" i="2"/>
  <c r="BC142" i="2"/>
  <c r="BC137" i="2"/>
  <c r="BC209" i="2"/>
  <c r="BC213" i="2"/>
  <c r="BC210" i="2"/>
  <c r="BC238" i="2"/>
  <c r="BC166" i="2"/>
  <c r="BC167" i="2"/>
  <c r="BC239" i="2"/>
  <c r="BC240" i="2"/>
  <c r="BC184" i="2"/>
  <c r="BC245" i="2"/>
  <c r="BC12" i="2"/>
  <c r="BC214" i="2"/>
  <c r="BC16" i="2"/>
  <c r="BC18" i="2"/>
  <c r="BC215" i="2"/>
  <c r="BC26" i="2"/>
  <c r="BC28" i="2"/>
  <c r="BC40" i="2"/>
  <c r="BC42" i="2"/>
  <c r="BC63" i="2"/>
  <c r="BC67" i="2"/>
  <c r="BC182" i="2"/>
  <c r="BC79" i="2"/>
  <c r="BC81" i="2"/>
  <c r="BC82" i="2"/>
  <c r="BC90" i="2"/>
  <c r="BC95" i="2"/>
  <c r="BC96" i="2"/>
  <c r="BC98" i="2"/>
  <c r="BC216" i="2"/>
  <c r="BC101" i="2"/>
  <c r="BC220" i="2"/>
  <c r="BC217" i="2"/>
  <c r="BC218" i="2"/>
  <c r="BC143" i="2"/>
  <c r="BC219" i="2"/>
  <c r="BC105" i="2"/>
  <c r="BC237" i="2"/>
  <c r="BC33" i="2"/>
  <c r="BC165" i="2"/>
  <c r="BC173" i="2"/>
  <c r="BC242" i="2"/>
  <c r="BC177" i="2"/>
  <c r="BC178" i="2"/>
  <c r="BC180" i="2"/>
  <c r="BC181" i="2"/>
  <c r="BC189" i="2"/>
  <c r="BC246" i="2"/>
  <c r="BC8" i="2"/>
  <c r="BC221" i="2"/>
  <c r="BC17" i="2"/>
  <c r="BC21" i="2"/>
  <c r="BC32" i="2"/>
  <c r="BC222" i="2"/>
  <c r="BC55" i="2"/>
  <c r="BC224" i="2"/>
  <c r="BC132" i="2"/>
  <c r="BC225" i="2"/>
  <c r="BC94" i="2"/>
  <c r="BC102" i="2"/>
  <c r="BC226" i="2"/>
  <c r="BC227" i="2"/>
  <c r="BC118" i="2"/>
  <c r="BC228" i="2"/>
  <c r="BC147" i="2"/>
  <c r="BC229" i="2"/>
  <c r="BC230" i="2"/>
  <c r="BC233" i="2"/>
  <c r="BC150" i="2"/>
  <c r="BC234" i="2"/>
  <c r="BC163" i="2"/>
  <c r="BC188" i="2"/>
  <c r="BI15" i="2"/>
  <c r="BI199" i="2"/>
  <c r="BI49" i="2"/>
  <c r="BI41" i="2"/>
  <c r="BI200" i="2"/>
  <c r="BI11" i="2"/>
  <c r="BI201" i="2"/>
  <c r="BI71" i="2"/>
  <c r="BI202" i="2"/>
  <c r="BI75" i="2"/>
  <c r="BI203" i="2"/>
  <c r="BI83" i="2"/>
  <c r="BI122" i="2"/>
  <c r="BI204" i="2"/>
  <c r="BI110" i="2"/>
  <c r="BI205" i="2"/>
  <c r="BI206" i="2"/>
  <c r="BI207" i="2"/>
  <c r="BI117" i="2"/>
  <c r="BI129" i="2"/>
  <c r="BI128" i="2"/>
  <c r="BI131" i="2"/>
  <c r="BI133" i="2"/>
  <c r="BI208" i="2"/>
  <c r="BI140" i="2"/>
  <c r="BI142" i="2"/>
  <c r="BI137" i="2"/>
  <c r="BI209" i="2"/>
  <c r="BI213" i="2"/>
  <c r="BI210" i="2"/>
  <c r="BI238" i="2"/>
  <c r="BI166" i="2"/>
  <c r="BI167" i="2"/>
  <c r="BI239" i="2"/>
  <c r="BI240" i="2"/>
  <c r="BI184" i="2"/>
  <c r="BI245" i="2"/>
  <c r="BI12" i="2"/>
  <c r="BI214" i="2"/>
  <c r="BI16" i="2"/>
  <c r="BI18" i="2"/>
  <c r="BI215" i="2"/>
  <c r="BI26" i="2"/>
  <c r="BI28" i="2"/>
  <c r="BI40" i="2"/>
  <c r="BI42" i="2"/>
  <c r="BI63" i="2"/>
  <c r="BI67" i="2"/>
  <c r="BI182" i="2"/>
  <c r="BI79" i="2"/>
  <c r="BI81" i="2"/>
  <c r="BI82" i="2"/>
  <c r="BI90" i="2"/>
  <c r="BI95" i="2"/>
  <c r="BI96" i="2"/>
  <c r="BI98" i="2"/>
  <c r="BI216" i="2"/>
  <c r="BI101" i="2"/>
  <c r="BI220" i="2"/>
  <c r="BI217" i="2"/>
  <c r="BI218" i="2"/>
  <c r="BI143" i="2"/>
  <c r="BI219" i="2"/>
  <c r="BI105" i="2"/>
  <c r="BI237" i="2"/>
  <c r="BI33" i="2"/>
  <c r="BI165" i="2"/>
  <c r="BI173" i="2"/>
  <c r="BI242" i="2"/>
  <c r="BI177" i="2"/>
  <c r="BI178" i="2"/>
  <c r="BI180" i="2"/>
  <c r="BI181" i="2"/>
  <c r="BI189" i="2"/>
  <c r="BI246" i="2"/>
  <c r="BI8" i="2"/>
  <c r="BI221" i="2"/>
  <c r="BI17" i="2"/>
  <c r="BI21" i="2"/>
  <c r="BI32" i="2"/>
  <c r="BI222" i="2"/>
  <c r="BI55" i="2"/>
  <c r="BI224" i="2"/>
  <c r="BI132" i="2"/>
  <c r="BI225" i="2"/>
  <c r="BI94" i="2"/>
  <c r="BI102" i="2"/>
  <c r="BI226" i="2"/>
  <c r="BI227" i="2"/>
  <c r="BI118" i="2"/>
  <c r="BI228" i="2"/>
  <c r="BI147" i="2"/>
  <c r="BI229" i="2"/>
  <c r="BI230" i="2"/>
  <c r="BI233" i="2"/>
  <c r="BI150" i="2"/>
  <c r="BI234" i="2"/>
  <c r="BI163" i="2"/>
  <c r="BI188" i="2"/>
  <c r="BO15" i="2"/>
  <c r="BO199" i="2"/>
  <c r="BO49" i="2"/>
  <c r="BO41" i="2"/>
  <c r="BO200" i="2"/>
  <c r="BO11" i="2"/>
  <c r="BO201" i="2"/>
  <c r="BO71" i="2"/>
  <c r="BO202" i="2"/>
  <c r="BO75" i="2"/>
  <c r="BO203" i="2"/>
  <c r="BO83" i="2"/>
  <c r="BO122" i="2"/>
  <c r="BO204" i="2"/>
  <c r="BO110" i="2"/>
  <c r="BO205" i="2"/>
  <c r="BO206" i="2"/>
  <c r="BO207" i="2"/>
  <c r="BO117" i="2"/>
  <c r="BO129" i="2"/>
  <c r="BO128" i="2"/>
  <c r="BO131" i="2"/>
  <c r="BO133" i="2"/>
  <c r="BO208" i="2"/>
  <c r="BO140" i="2"/>
  <c r="BO142" i="2"/>
  <c r="BO137" i="2"/>
  <c r="BO209" i="2"/>
  <c r="BO213" i="2"/>
  <c r="BO210" i="2"/>
  <c r="BO238" i="2"/>
  <c r="BO166" i="2"/>
  <c r="BO167" i="2"/>
  <c r="BO239" i="2"/>
  <c r="BO240" i="2"/>
  <c r="BO184" i="2"/>
  <c r="BO245" i="2"/>
  <c r="BO12" i="2"/>
  <c r="BO214" i="2"/>
  <c r="BO16" i="2"/>
  <c r="BO18" i="2"/>
  <c r="BO215" i="2"/>
  <c r="BO26" i="2"/>
  <c r="BO28" i="2"/>
  <c r="BO40" i="2"/>
  <c r="BO42" i="2"/>
  <c r="BO63" i="2"/>
  <c r="BO67" i="2"/>
  <c r="BO182" i="2"/>
  <c r="BO79" i="2"/>
  <c r="BO81" i="2"/>
  <c r="BO82" i="2"/>
  <c r="BO90" i="2"/>
  <c r="BO95" i="2"/>
  <c r="BO96" i="2"/>
  <c r="BO98" i="2"/>
  <c r="BO216" i="2"/>
  <c r="BO101" i="2"/>
  <c r="BO220" i="2"/>
  <c r="BO217" i="2"/>
  <c r="BO218" i="2"/>
  <c r="BO143" i="2"/>
  <c r="BO219" i="2"/>
  <c r="BO105" i="2"/>
  <c r="BO237" i="2"/>
  <c r="BO33" i="2"/>
  <c r="BO165" i="2"/>
  <c r="BO173" i="2"/>
  <c r="BO242" i="2"/>
  <c r="BO177" i="2"/>
  <c r="BO178" i="2"/>
  <c r="BO180" i="2"/>
  <c r="BO181" i="2"/>
  <c r="BO189" i="2"/>
  <c r="BO246" i="2"/>
  <c r="BO8" i="2"/>
  <c r="BO221" i="2"/>
  <c r="BO17" i="2"/>
  <c r="BO21" i="2"/>
  <c r="BO32" i="2"/>
  <c r="BO222" i="2"/>
  <c r="BO55" i="2"/>
  <c r="BO224" i="2"/>
  <c r="BO132" i="2"/>
  <c r="BO225" i="2"/>
  <c r="BO94" i="2"/>
  <c r="BO102" i="2"/>
  <c r="BO226" i="2"/>
  <c r="BO227" i="2"/>
  <c r="BO118" i="2"/>
  <c r="BO228" i="2"/>
  <c r="BO147" i="2"/>
  <c r="BO229" i="2"/>
  <c r="BO230" i="2"/>
  <c r="BO233" i="2"/>
  <c r="BO150" i="2"/>
  <c r="BO234" i="2"/>
  <c r="BO163" i="2"/>
  <c r="BO188" i="2"/>
  <c r="BU15" i="2"/>
  <c r="BU199" i="2"/>
  <c r="BU49" i="2"/>
  <c r="BU41" i="2"/>
  <c r="BU200" i="2"/>
  <c r="BU11" i="2"/>
  <c r="BU201" i="2"/>
  <c r="BU71" i="2"/>
  <c r="BU202" i="2"/>
  <c r="BU75" i="2"/>
  <c r="BU203" i="2"/>
  <c r="BU83" i="2"/>
  <c r="BU122" i="2"/>
  <c r="BU204" i="2"/>
  <c r="BU110" i="2"/>
  <c r="BU205" i="2"/>
  <c r="BU206" i="2"/>
  <c r="BU207" i="2"/>
  <c r="BU117" i="2"/>
  <c r="BU129" i="2"/>
  <c r="BU128" i="2"/>
  <c r="BU131" i="2"/>
  <c r="BU133" i="2"/>
  <c r="BU208" i="2"/>
  <c r="BU140" i="2"/>
  <c r="BU142" i="2"/>
  <c r="BU137" i="2"/>
  <c r="BU209" i="2"/>
  <c r="BU213" i="2"/>
  <c r="BU210" i="2"/>
  <c r="BU238" i="2"/>
  <c r="BU166" i="2"/>
  <c r="BU167" i="2"/>
  <c r="BU239" i="2"/>
  <c r="BU240" i="2"/>
  <c r="BU184" i="2"/>
  <c r="BU245" i="2"/>
  <c r="BU12" i="2"/>
  <c r="BU214" i="2"/>
  <c r="BU16" i="2"/>
  <c r="BU18" i="2"/>
  <c r="BU215" i="2"/>
  <c r="BU26" i="2"/>
  <c r="BU28" i="2"/>
  <c r="BU40" i="2"/>
  <c r="BU42" i="2"/>
  <c r="BU63" i="2"/>
  <c r="BU67" i="2"/>
  <c r="BU182" i="2"/>
  <c r="BU79" i="2"/>
  <c r="BU81" i="2"/>
  <c r="BU82" i="2"/>
  <c r="BU90" i="2"/>
  <c r="BU95" i="2"/>
  <c r="BU96" i="2"/>
  <c r="BU98" i="2"/>
  <c r="BU216" i="2"/>
  <c r="BU101" i="2"/>
  <c r="BU220" i="2"/>
  <c r="BU217" i="2"/>
  <c r="BU218" i="2"/>
  <c r="BU143" i="2"/>
  <c r="BU219" i="2"/>
  <c r="BU105" i="2"/>
  <c r="BU237" i="2"/>
  <c r="BU33" i="2"/>
  <c r="BU165" i="2"/>
  <c r="BU173" i="2"/>
  <c r="BU242" i="2"/>
  <c r="BU177" i="2"/>
  <c r="BU178" i="2"/>
  <c r="BU180" i="2"/>
  <c r="BU181" i="2"/>
  <c r="BU189" i="2"/>
  <c r="BU246" i="2"/>
  <c r="BU8" i="2"/>
  <c r="BU221" i="2"/>
  <c r="BU17" i="2"/>
  <c r="BU21" i="2"/>
  <c r="BU32" i="2"/>
  <c r="BU222" i="2"/>
  <c r="BU55" i="2"/>
  <c r="BU224" i="2"/>
  <c r="BU132" i="2"/>
  <c r="BU225" i="2"/>
  <c r="BU94" i="2"/>
  <c r="BU102" i="2"/>
  <c r="BU226" i="2"/>
  <c r="BU227" i="2"/>
  <c r="BU118" i="2"/>
  <c r="BU228" i="2"/>
  <c r="BU147" i="2"/>
  <c r="BU229" i="2"/>
  <c r="BU230" i="2"/>
  <c r="BU233" i="2"/>
  <c r="BU150" i="2"/>
  <c r="BU234" i="2"/>
  <c r="BU163" i="2"/>
  <c r="BU188" i="2"/>
  <c r="BU13" i="2"/>
  <c r="BO13" i="2"/>
  <c r="BI13" i="2"/>
  <c r="BC13" i="2"/>
  <c r="AW13" i="2"/>
  <c r="AQ13" i="2"/>
  <c r="AK13" i="2"/>
  <c r="AE13" i="2"/>
  <c r="Y13" i="2"/>
  <c r="S13" i="2"/>
  <c r="K15" i="2"/>
  <c r="K199" i="2"/>
  <c r="K49" i="2"/>
  <c r="K41" i="2"/>
  <c r="K200" i="2"/>
  <c r="K11" i="2"/>
  <c r="K201" i="2"/>
  <c r="K71" i="2"/>
  <c r="K202" i="2"/>
  <c r="K75" i="2"/>
  <c r="K203" i="2"/>
  <c r="K83" i="2"/>
  <c r="K122" i="2"/>
  <c r="K204" i="2"/>
  <c r="K110" i="2"/>
  <c r="K205" i="2"/>
  <c r="K206" i="2"/>
  <c r="K207" i="2"/>
  <c r="K117" i="2"/>
  <c r="K129" i="2"/>
  <c r="K128" i="2"/>
  <c r="K131" i="2"/>
  <c r="K133" i="2"/>
  <c r="K208" i="2"/>
  <c r="K140" i="2"/>
  <c r="K142" i="2"/>
  <c r="K137" i="2"/>
  <c r="K209" i="2"/>
  <c r="K213" i="2"/>
  <c r="K210" i="2"/>
  <c r="K238" i="2"/>
  <c r="K166" i="2"/>
  <c r="K167" i="2"/>
  <c r="K239" i="2"/>
  <c r="K240" i="2"/>
  <c r="K184" i="2"/>
  <c r="K245" i="2"/>
  <c r="K12" i="2"/>
  <c r="K214" i="2"/>
  <c r="K16" i="2"/>
  <c r="K18" i="2"/>
  <c r="K215" i="2"/>
  <c r="K26" i="2"/>
  <c r="K28" i="2"/>
  <c r="K40" i="2"/>
  <c r="K42" i="2"/>
  <c r="K63" i="2"/>
  <c r="K67" i="2"/>
  <c r="K182" i="2"/>
  <c r="K79" i="2"/>
  <c r="K81" i="2"/>
  <c r="K82" i="2"/>
  <c r="K90" i="2"/>
  <c r="K95" i="2"/>
  <c r="K96" i="2"/>
  <c r="K98" i="2"/>
  <c r="K216" i="2"/>
  <c r="K101" i="2"/>
  <c r="K220" i="2"/>
  <c r="K217" i="2"/>
  <c r="K218" i="2"/>
  <c r="K143" i="2"/>
  <c r="K219" i="2"/>
  <c r="K105" i="2"/>
  <c r="K237" i="2"/>
  <c r="K33" i="2"/>
  <c r="K165" i="2"/>
  <c r="K173" i="2"/>
  <c r="K242" i="2"/>
  <c r="K177" i="2"/>
  <c r="K178" i="2"/>
  <c r="K180" i="2"/>
  <c r="K181" i="2"/>
  <c r="K189" i="2"/>
  <c r="K246" i="2"/>
  <c r="K8" i="2"/>
  <c r="K221" i="2"/>
  <c r="K17" i="2"/>
  <c r="K21" i="2"/>
  <c r="K32" i="2"/>
  <c r="K222" i="2"/>
  <c r="K55" i="2"/>
  <c r="K224" i="2"/>
  <c r="K132" i="2"/>
  <c r="K225" i="2"/>
  <c r="K94" i="2"/>
  <c r="K102" i="2"/>
  <c r="K226" i="2"/>
  <c r="K227" i="2"/>
  <c r="K118" i="2"/>
  <c r="K228" i="2"/>
  <c r="K147" i="2"/>
  <c r="K229" i="2"/>
  <c r="K230" i="2"/>
  <c r="K233" i="2"/>
  <c r="K150" i="2"/>
  <c r="K234" i="2"/>
  <c r="K163" i="2"/>
  <c r="K188" i="2"/>
  <c r="K13" i="2"/>
  <c r="L70" i="2" l="1"/>
  <c r="H70" i="2" s="1"/>
  <c r="L233" i="2"/>
  <c r="L228" i="2"/>
  <c r="L102" i="2"/>
  <c r="L224" i="2"/>
  <c r="L246" i="2"/>
  <c r="L178" i="2"/>
  <c r="L165" i="2"/>
  <c r="L219" i="2"/>
  <c r="L220" i="2"/>
  <c r="L96" i="2"/>
  <c r="L81" i="2"/>
  <c r="L63" i="2"/>
  <c r="L26" i="2"/>
  <c r="L214" i="2"/>
  <c r="L240" i="2"/>
  <c r="L238" i="2"/>
  <c r="L137" i="2"/>
  <c r="L133" i="2"/>
  <c r="L117" i="2"/>
  <c r="L110" i="2"/>
  <c r="L203" i="2"/>
  <c r="L201" i="2"/>
  <c r="L247" i="2"/>
  <c r="CB247" i="2" s="1"/>
  <c r="CC247" i="2" s="1"/>
  <c r="L170" i="2"/>
  <c r="L149" i="2"/>
  <c r="L92" i="2"/>
  <c r="L57" i="2"/>
  <c r="L118" i="2"/>
  <c r="L55" i="2"/>
  <c r="L189" i="2"/>
  <c r="L33" i="2"/>
  <c r="L101" i="2"/>
  <c r="L79" i="2"/>
  <c r="L215" i="2"/>
  <c r="L239" i="2"/>
  <c r="L142" i="2"/>
  <c r="L207" i="2"/>
  <c r="L75" i="2"/>
  <c r="L199" i="2"/>
  <c r="L235" i="2"/>
  <c r="L6" i="2"/>
  <c r="L123" i="2"/>
  <c r="L68" i="2"/>
  <c r="L46" i="2"/>
  <c r="L175" i="2"/>
  <c r="L139" i="2"/>
  <c r="L188" i="2"/>
  <c r="L49" i="2"/>
  <c r="L230" i="2"/>
  <c r="L94" i="2"/>
  <c r="L17" i="2"/>
  <c r="L177" i="2"/>
  <c r="L143" i="2"/>
  <c r="L95" i="2"/>
  <c r="L42" i="2"/>
  <c r="L12" i="2"/>
  <c r="L210" i="2"/>
  <c r="L131" i="2"/>
  <c r="L204" i="2"/>
  <c r="L11" i="2"/>
  <c r="L169" i="2"/>
  <c r="L144" i="2"/>
  <c r="L211" i="2"/>
  <c r="L185" i="2"/>
  <c r="L179" i="2"/>
  <c r="L241" i="2"/>
  <c r="L198" i="2"/>
  <c r="L114" i="2"/>
  <c r="L74" i="2"/>
  <c r="L243" i="2"/>
  <c r="L193" i="2"/>
  <c r="L97" i="2"/>
  <c r="L191" i="2"/>
  <c r="L73" i="2"/>
  <c r="L190" i="2"/>
  <c r="L80" i="2"/>
  <c r="L62" i="2"/>
  <c r="L72" i="2"/>
  <c r="L88" i="2"/>
  <c r="L231" i="2"/>
  <c r="L115" i="2"/>
  <c r="L234" i="2"/>
  <c r="L227" i="2"/>
  <c r="L222" i="2"/>
  <c r="L181" i="2"/>
  <c r="L237" i="2"/>
  <c r="L218" i="2"/>
  <c r="L216" i="2"/>
  <c r="L90" i="2"/>
  <c r="L182" i="2"/>
  <c r="L40" i="2"/>
  <c r="L18" i="2"/>
  <c r="L167" i="2"/>
  <c r="L213" i="2"/>
  <c r="L140" i="2"/>
  <c r="L128" i="2"/>
  <c r="L206" i="2"/>
  <c r="L122" i="2"/>
  <c r="L202" i="2"/>
  <c r="L200" i="2"/>
  <c r="L15" i="2"/>
  <c r="L130" i="2"/>
  <c r="L66" i="2"/>
  <c r="L54" i="2"/>
  <c r="L229" i="2"/>
  <c r="L225" i="2"/>
  <c r="L221" i="2"/>
  <c r="L242" i="2"/>
  <c r="L245" i="2"/>
  <c r="L13" i="2"/>
  <c r="L150" i="2"/>
  <c r="L147" i="2"/>
  <c r="L226" i="2"/>
  <c r="L132" i="2"/>
  <c r="L32" i="2"/>
  <c r="L8" i="2"/>
  <c r="L180" i="2"/>
  <c r="L173" i="2"/>
  <c r="L105" i="2"/>
  <c r="L217" i="2"/>
  <c r="L98" i="2"/>
  <c r="L82" i="2"/>
  <c r="L67" i="2"/>
  <c r="L28" i="2"/>
  <c r="L16" i="2"/>
  <c r="L184" i="2"/>
  <c r="L166" i="2"/>
  <c r="L209" i="2"/>
  <c r="L208" i="2"/>
  <c r="L129" i="2"/>
  <c r="L205" i="2"/>
  <c r="L83" i="2"/>
  <c r="L71" i="2"/>
  <c r="L41" i="2"/>
  <c r="L39" i="2"/>
  <c r="L84" i="2"/>
  <c r="L155" i="2"/>
  <c r="L125" i="2"/>
  <c r="L7" i="2"/>
  <c r="L76" i="2"/>
  <c r="L244" i="2"/>
  <c r="L47" i="2"/>
  <c r="L148" i="2"/>
  <c r="L124" i="2"/>
  <c r="L196" i="2"/>
  <c r="L195" i="2"/>
  <c r="L87" i="2"/>
  <c r="L51" i="2"/>
  <c r="L45" i="2"/>
  <c r="L14" i="2"/>
  <c r="L58" i="2"/>
  <c r="L236" i="2"/>
  <c r="L194" i="2"/>
  <c r="L192" i="2"/>
  <c r="L159" i="2"/>
  <c r="L77" i="2"/>
  <c r="L126" i="2"/>
  <c r="L56" i="2"/>
  <c r="L232" i="2"/>
  <c r="L53" i="2"/>
  <c r="C396" i="5"/>
  <c r="A346" i="5"/>
  <c r="C296" i="5"/>
  <c r="A421" i="5"/>
  <c r="A321" i="5"/>
  <c r="A221" i="5"/>
  <c r="A121" i="5"/>
  <c r="A22" i="5"/>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L5" i="2"/>
  <c r="H66" i="9" l="1"/>
  <c r="H67" i="9"/>
  <c r="H247" i="2"/>
  <c r="BV247" i="2" s="1"/>
  <c r="BX247" i="2" s="1"/>
  <c r="BY247" i="2" s="1"/>
  <c r="CO247" i="2"/>
  <c r="CQ247" i="2"/>
  <c r="CP247" i="2"/>
  <c r="CR247" i="2"/>
  <c r="CS247" i="2"/>
  <c r="CB241" i="2"/>
  <c r="CC241" i="2" s="1"/>
  <c r="CQ241" i="2" s="1"/>
  <c r="CB222" i="2"/>
  <c r="CC222" i="2" s="1"/>
  <c r="CQ222" i="2" s="1"/>
  <c r="CB240" i="2"/>
  <c r="CC240" i="2" s="1"/>
  <c r="CO240" i="2" s="1"/>
  <c r="CB244" i="2"/>
  <c r="CC244" i="2" s="1"/>
  <c r="CO244" i="2" s="1"/>
  <c r="CB237" i="2"/>
  <c r="CC237" i="2" s="1"/>
  <c r="CS237" i="2" s="1"/>
  <c r="CB228" i="2"/>
  <c r="CC228" i="2" s="1"/>
  <c r="CP228" i="2" s="1"/>
  <c r="CB243" i="2"/>
  <c r="CC243" i="2" s="1"/>
  <c r="CR243" i="2" s="1"/>
  <c r="CB234" i="2"/>
  <c r="CC234" i="2" s="1"/>
  <c r="CS234" i="2" s="1"/>
  <c r="CB246" i="2"/>
  <c r="CC246" i="2" s="1"/>
  <c r="CS246" i="2" s="1"/>
  <c r="CB225" i="2"/>
  <c r="CC225" i="2" s="1"/>
  <c r="CP225" i="2" s="1"/>
  <c r="CB232" i="2"/>
  <c r="CC232" i="2" s="1"/>
  <c r="CQ232" i="2" s="1"/>
  <c r="CB223" i="2"/>
  <c r="CC223" i="2" s="1"/>
  <c r="CP223" i="2" s="1"/>
  <c r="CB224" i="2"/>
  <c r="CC224" i="2" s="1"/>
  <c r="CB238" i="2"/>
  <c r="CC238" i="2" s="1"/>
  <c r="CP238" i="2" s="1"/>
  <c r="CB239" i="2"/>
  <c r="CC239" i="2" s="1"/>
  <c r="CB229" i="2"/>
  <c r="CC229" i="2" s="1"/>
  <c r="CP229" i="2" s="1"/>
  <c r="CB242" i="2"/>
  <c r="CC242" i="2" s="1"/>
  <c r="CQ242" i="2" s="1"/>
  <c r="CB235" i="2"/>
  <c r="CC235" i="2" s="1"/>
  <c r="CO235" i="2" s="1"/>
  <c r="CB226" i="2"/>
  <c r="CC226" i="2" s="1"/>
  <c r="CO226" i="2" s="1"/>
  <c r="CB227" i="2"/>
  <c r="CC227" i="2" s="1"/>
  <c r="CB230" i="2"/>
  <c r="CC230" i="2" s="1"/>
  <c r="CO230" i="2" s="1"/>
  <c r="CB220" i="2"/>
  <c r="CC220" i="2" s="1"/>
  <c r="CO220" i="2" s="1"/>
  <c r="CB221" i="2"/>
  <c r="CC221" i="2" s="1"/>
  <c r="CB233" i="2"/>
  <c r="CC233" i="2" s="1"/>
  <c r="CS233" i="2" s="1"/>
  <c r="CB231" i="2"/>
  <c r="CC231" i="2" s="1"/>
  <c r="CS231" i="2" s="1"/>
  <c r="CB236" i="2"/>
  <c r="CC236" i="2" s="1"/>
  <c r="CR236" i="2" s="1"/>
  <c r="CB245" i="2"/>
  <c r="CC245" i="2" s="1"/>
  <c r="CB218" i="2"/>
  <c r="CC218" i="2" s="1"/>
  <c r="CB219" i="2"/>
  <c r="CC219" i="2" s="1"/>
  <c r="CB110" i="2"/>
  <c r="CB174" i="2"/>
  <c r="CB109" i="2"/>
  <c r="CB180" i="2"/>
  <c r="CB216" i="2"/>
  <c r="CC216" i="2" s="1"/>
  <c r="CB217" i="2"/>
  <c r="CC217" i="2" s="1"/>
  <c r="CB193" i="2"/>
  <c r="CC193" i="2" s="1"/>
  <c r="CB108" i="2"/>
  <c r="CB170" i="2"/>
  <c r="CB199" i="2"/>
  <c r="CC199" i="2" s="1"/>
  <c r="CB176" i="2"/>
  <c r="CB185" i="2"/>
  <c r="CC185" i="2" s="1"/>
  <c r="CB190" i="2"/>
  <c r="CC190" i="2" s="1"/>
  <c r="CB215" i="2"/>
  <c r="CC215" i="2" s="1"/>
  <c r="CB178" i="2"/>
  <c r="CB205" i="2"/>
  <c r="CC205" i="2" s="1"/>
  <c r="CB183" i="2"/>
  <c r="CB207" i="2"/>
  <c r="CC207" i="2" s="1"/>
  <c r="CB181" i="2"/>
  <c r="CB172" i="2"/>
  <c r="CB202" i="2"/>
  <c r="CC202" i="2" s="1"/>
  <c r="CB184" i="2"/>
  <c r="CC184" i="2" s="1"/>
  <c r="CB60" i="2"/>
  <c r="CB197" i="2"/>
  <c r="CC197" i="2" s="1"/>
  <c r="CB200" i="2"/>
  <c r="CC200" i="2" s="1"/>
  <c r="CB203" i="2"/>
  <c r="CC203" i="2" s="1"/>
  <c r="CB177" i="2"/>
  <c r="CB210" i="2"/>
  <c r="CC210" i="2" s="1"/>
  <c r="CB214" i="2"/>
  <c r="CC214" i="2" s="1"/>
  <c r="CB157" i="2"/>
  <c r="CB189" i="2"/>
  <c r="CC189" i="2" s="1"/>
  <c r="CB209" i="2"/>
  <c r="CC209" i="2" s="1"/>
  <c r="CB213" i="2"/>
  <c r="CC213" i="2" s="1"/>
  <c r="CB201" i="2"/>
  <c r="CC201" i="2" s="1"/>
  <c r="CB171" i="2"/>
  <c r="CB175" i="2"/>
  <c r="CB182" i="2"/>
  <c r="CB186" i="2"/>
  <c r="CC186" i="2" s="1"/>
  <c r="CB191" i="2"/>
  <c r="CC191" i="2" s="1"/>
  <c r="CB195" i="2"/>
  <c r="CC195" i="2" s="1"/>
  <c r="CB188" i="2"/>
  <c r="CC188" i="2" s="1"/>
  <c r="CB143" i="2"/>
  <c r="CB167" i="2"/>
  <c r="CB206" i="2"/>
  <c r="CC206" i="2" s="1"/>
  <c r="CB187" i="2"/>
  <c r="CC187" i="2" s="1"/>
  <c r="CB208" i="2"/>
  <c r="CC208" i="2" s="1"/>
  <c r="CB212" i="2"/>
  <c r="CC212" i="2" s="1"/>
  <c r="CB138" i="2"/>
  <c r="CB168" i="2"/>
  <c r="CB135" i="2"/>
  <c r="CB136" i="2"/>
  <c r="CB61" i="2"/>
  <c r="CB10" i="2"/>
  <c r="CB141" i="2"/>
  <c r="CB75" i="2"/>
  <c r="CB144" i="2"/>
  <c r="CB169" i="2"/>
  <c r="CB64" i="2"/>
  <c r="CB99" i="2"/>
  <c r="CB49" i="2"/>
  <c r="CB123" i="2"/>
  <c r="CB76" i="2"/>
  <c r="CB204" i="2"/>
  <c r="CC204" i="2" s="1"/>
  <c r="CB173" i="2"/>
  <c r="CB50" i="2"/>
  <c r="CB198" i="2"/>
  <c r="CC198" i="2" s="1"/>
  <c r="H202" i="2"/>
  <c r="BV202" i="2" s="1"/>
  <c r="BX202" i="2" s="1"/>
  <c r="BY202" i="2" s="1"/>
  <c r="CB77" i="2"/>
  <c r="CB165" i="2"/>
  <c r="CB107" i="2"/>
  <c r="CB194" i="2"/>
  <c r="CC194" i="2" s="1"/>
  <c r="H220" i="2"/>
  <c r="BV220" i="2" s="1"/>
  <c r="BX220" i="2" s="1"/>
  <c r="BY220" i="2" s="1"/>
  <c r="H228" i="2"/>
  <c r="BV228" i="2" s="1"/>
  <c r="BX228" i="2" s="1"/>
  <c r="BY228" i="2" s="1"/>
  <c r="CB39" i="2"/>
  <c r="H217" i="2"/>
  <c r="BV217" i="2" s="1"/>
  <c r="BX217" i="2" s="1"/>
  <c r="BY217" i="2" s="1"/>
  <c r="CB147" i="2"/>
  <c r="CB154" i="2"/>
  <c r="CB148" i="2"/>
  <c r="CB114" i="2"/>
  <c r="H242" i="2"/>
  <c r="BV242" i="2" s="1"/>
  <c r="BX242" i="2" s="1"/>
  <c r="BY242" i="2" s="1"/>
  <c r="CB67" i="2"/>
  <c r="H199" i="2"/>
  <c r="BV199" i="2" s="1"/>
  <c r="BX199" i="2" s="1"/>
  <c r="BY199" i="2" s="1"/>
  <c r="CB45" i="2"/>
  <c r="H231" i="2"/>
  <c r="BV231" i="2" s="1"/>
  <c r="BX231" i="2" s="1"/>
  <c r="BY231" i="2" s="1"/>
  <c r="CB40" i="2"/>
  <c r="H205" i="2"/>
  <c r="BV205" i="2" s="1"/>
  <c r="BX205" i="2" s="1"/>
  <c r="BY205" i="2" s="1"/>
  <c r="CB53" i="2"/>
  <c r="H211" i="2"/>
  <c r="BV211" i="2" s="1"/>
  <c r="BX211" i="2" s="1"/>
  <c r="BY211" i="2" s="1"/>
  <c r="CB7" i="2"/>
  <c r="CB8" i="2"/>
  <c r="CB87" i="2"/>
  <c r="H204" i="2"/>
  <c r="BV204" i="2" s="1"/>
  <c r="BX204" i="2" s="1"/>
  <c r="BY204" i="2" s="1"/>
  <c r="CB122" i="2"/>
  <c r="H213" i="2"/>
  <c r="BV213" i="2" s="1"/>
  <c r="BX213" i="2" s="1"/>
  <c r="BY213" i="2" s="1"/>
  <c r="CB58" i="2"/>
  <c r="H238" i="2"/>
  <c r="BV238" i="2" s="1"/>
  <c r="BX238" i="2" s="1"/>
  <c r="BY238" i="2" s="1"/>
  <c r="CB30" i="2"/>
  <c r="H219" i="2"/>
  <c r="BV219" i="2" s="1"/>
  <c r="BX219" i="2" s="1"/>
  <c r="BY219" i="2" s="1"/>
  <c r="CB43" i="2"/>
  <c r="H208" i="2"/>
  <c r="BV208" i="2" s="1"/>
  <c r="BX208" i="2" s="1"/>
  <c r="BY208" i="2" s="1"/>
  <c r="CB95" i="2"/>
  <c r="CB96" i="2"/>
  <c r="CB73" i="2"/>
  <c r="CB98" i="2"/>
  <c r="H216" i="2"/>
  <c r="BV216" i="2" s="1"/>
  <c r="BX216" i="2" s="1"/>
  <c r="BY216" i="2" s="1"/>
  <c r="CB38" i="2"/>
  <c r="H227" i="2"/>
  <c r="BV227" i="2" s="1"/>
  <c r="BX227" i="2" s="1"/>
  <c r="BY227" i="2" s="1"/>
  <c r="CB28" i="2"/>
  <c r="CB18" i="2"/>
  <c r="CB19" i="2"/>
  <c r="CB90" i="2"/>
  <c r="CB102" i="2"/>
  <c r="H195" i="2"/>
  <c r="BV195" i="2" s="1"/>
  <c r="BX195" i="2" s="1"/>
  <c r="BY195" i="2" s="1"/>
  <c r="CB115" i="2"/>
  <c r="CB14" i="2"/>
  <c r="H207" i="2"/>
  <c r="BV207" i="2" s="1"/>
  <c r="BX207" i="2" s="1"/>
  <c r="BY207" i="2" s="1"/>
  <c r="CB153" i="2"/>
  <c r="CB78" i="2"/>
  <c r="H209" i="2"/>
  <c r="BV209" i="2" s="1"/>
  <c r="BX209" i="2" s="1"/>
  <c r="BY209" i="2" s="1"/>
  <c r="CB128" i="2"/>
  <c r="CB159" i="2"/>
  <c r="CB152" i="2"/>
  <c r="H240" i="2"/>
  <c r="BV240" i="2" s="1"/>
  <c r="BX240" i="2" s="1"/>
  <c r="BY240" i="2" s="1"/>
  <c r="CB37" i="2"/>
  <c r="CB47" i="2"/>
  <c r="H224" i="2"/>
  <c r="BV224" i="2" s="1"/>
  <c r="BX224" i="2" s="1"/>
  <c r="BY224" i="2" s="1"/>
  <c r="CB116" i="2"/>
  <c r="CB142" i="2"/>
  <c r="CB84" i="2"/>
  <c r="CB111" i="2"/>
  <c r="CC111" i="2" s="1"/>
  <c r="CB196" i="2"/>
  <c r="CC196" i="2" s="1"/>
  <c r="CB79" i="2"/>
  <c r="CB130" i="2"/>
  <c r="CB124" i="2"/>
  <c r="CB133" i="2"/>
  <c r="H230" i="2"/>
  <c r="BV230" i="2" s="1"/>
  <c r="BX230" i="2" s="1"/>
  <c r="BY230" i="2" s="1"/>
  <c r="CB155" i="2"/>
  <c r="CB68" i="2"/>
  <c r="H218" i="2"/>
  <c r="BV218" i="2" s="1"/>
  <c r="BX218" i="2" s="1"/>
  <c r="BY218" i="2" s="1"/>
  <c r="CB34" i="2"/>
  <c r="H221" i="2"/>
  <c r="BV221" i="2" s="1"/>
  <c r="BX221" i="2" s="1"/>
  <c r="BY221" i="2" s="1"/>
  <c r="CB106" i="2"/>
  <c r="H229" i="2"/>
  <c r="BV229" i="2" s="1"/>
  <c r="BX229" i="2" s="1"/>
  <c r="BY229" i="2" s="1"/>
  <c r="CB82" i="2"/>
  <c r="CB33" i="2"/>
  <c r="CB44" i="2"/>
  <c r="CB70" i="2"/>
  <c r="CB129" i="2"/>
  <c r="CB62" i="2"/>
  <c r="CB42" i="2"/>
  <c r="CB80" i="2"/>
  <c r="CB121" i="2"/>
  <c r="CB15" i="2"/>
  <c r="H196" i="2"/>
  <c r="BV196" i="2" s="1"/>
  <c r="BX196" i="2" s="1"/>
  <c r="BY196" i="2" s="1"/>
  <c r="CB35" i="2"/>
  <c r="CB179" i="2"/>
  <c r="CB9" i="2"/>
  <c r="CB46" i="2"/>
  <c r="CB81" i="2"/>
  <c r="H203" i="2"/>
  <c r="BV203" i="2" s="1"/>
  <c r="BX203" i="2" s="1"/>
  <c r="BY203" i="2" s="1"/>
  <c r="CB103" i="2"/>
  <c r="CB71" i="2"/>
  <c r="H246" i="2"/>
  <c r="BV246" i="2" s="1"/>
  <c r="BX246" i="2" s="1"/>
  <c r="BY246" i="2" s="1"/>
  <c r="CB89" i="2"/>
  <c r="CB145" i="2"/>
  <c r="CB83" i="2"/>
  <c r="CB91" i="2"/>
  <c r="CB100" i="2"/>
  <c r="CB29" i="2"/>
  <c r="CB101" i="2"/>
  <c r="H225" i="2"/>
  <c r="BV225" i="2" s="1"/>
  <c r="BX225" i="2" s="1"/>
  <c r="BY225" i="2" s="1"/>
  <c r="CB94" i="2"/>
  <c r="CB41" i="2"/>
  <c r="CB65" i="2"/>
  <c r="CB118" i="2"/>
  <c r="H241" i="2"/>
  <c r="BV241" i="2" s="1"/>
  <c r="BX241" i="2" s="1"/>
  <c r="BY241" i="2" s="1"/>
  <c r="CB16" i="2"/>
  <c r="CB11" i="2"/>
  <c r="CB150" i="2"/>
  <c r="H210" i="2"/>
  <c r="BV210" i="2" s="1"/>
  <c r="BX210" i="2" s="1"/>
  <c r="BY210" i="2" s="1"/>
  <c r="CB105" i="2"/>
  <c r="CB149" i="2"/>
  <c r="CB158" i="2"/>
  <c r="CB88" i="2"/>
  <c r="CC88" i="2" s="1"/>
  <c r="CB119" i="2"/>
  <c r="H233" i="2"/>
  <c r="BV233" i="2" s="1"/>
  <c r="BX233" i="2" s="1"/>
  <c r="BY233" i="2" s="1"/>
  <c r="CB162" i="2"/>
  <c r="CB104" i="2"/>
  <c r="H215" i="2"/>
  <c r="BV215" i="2" s="1"/>
  <c r="BX215" i="2" s="1"/>
  <c r="BY215" i="2" s="1"/>
  <c r="CB86" i="2"/>
  <c r="CB146" i="2"/>
  <c r="CB112" i="2"/>
  <c r="CB48" i="2"/>
  <c r="CB132" i="2"/>
  <c r="H232" i="2"/>
  <c r="BV232" i="2" s="1"/>
  <c r="BX232" i="2" s="1"/>
  <c r="BY232" i="2" s="1"/>
  <c r="CB66" i="2"/>
  <c r="H243" i="2"/>
  <c r="BV243" i="2" s="1"/>
  <c r="BX243" i="2" s="1"/>
  <c r="BY243" i="2" s="1"/>
  <c r="CB59" i="2"/>
  <c r="CB164" i="2"/>
  <c r="CB12" i="2"/>
  <c r="H244" i="2"/>
  <c r="BV244" i="2" s="1"/>
  <c r="BX244" i="2" s="1"/>
  <c r="BY244" i="2" s="1"/>
  <c r="CB74" i="2"/>
  <c r="CB31" i="2"/>
  <c r="H239" i="2"/>
  <c r="BV239" i="2" s="1"/>
  <c r="BX239" i="2" s="1"/>
  <c r="BY239" i="2" s="1"/>
  <c r="CB166" i="2"/>
  <c r="H200" i="2"/>
  <c r="BV200" i="2" s="1"/>
  <c r="BX200" i="2" s="1"/>
  <c r="BY200" i="2" s="1"/>
  <c r="CB131" i="2"/>
  <c r="CB92" i="2"/>
  <c r="CB117" i="2"/>
  <c r="CB57" i="2"/>
  <c r="H206" i="2"/>
  <c r="BV206" i="2" s="1"/>
  <c r="BX206" i="2" s="1"/>
  <c r="BY206" i="2" s="1"/>
  <c r="CB54" i="2"/>
  <c r="H201" i="2"/>
  <c r="BV201" i="2" s="1"/>
  <c r="BX201" i="2" s="1"/>
  <c r="BY201" i="2" s="1"/>
  <c r="CB56" i="2"/>
  <c r="CB160" i="2"/>
  <c r="H214" i="2"/>
  <c r="BV214" i="2" s="1"/>
  <c r="BX214" i="2" s="1"/>
  <c r="BY214" i="2" s="1"/>
  <c r="CB134" i="2"/>
  <c r="CB126" i="2"/>
  <c r="CB139" i="2"/>
  <c r="CB32" i="2"/>
  <c r="CB20" i="2"/>
  <c r="CB120" i="2"/>
  <c r="CB140" i="2"/>
  <c r="H226" i="2"/>
  <c r="BV226" i="2" s="1"/>
  <c r="BX226" i="2" s="1"/>
  <c r="BY226" i="2" s="1"/>
  <c r="CB17" i="2"/>
  <c r="H245" i="2"/>
  <c r="BV245" i="2" s="1"/>
  <c r="BX245" i="2" s="1"/>
  <c r="BY245" i="2" s="1"/>
  <c r="CB156" i="2"/>
  <c r="CB63" i="2"/>
  <c r="CB127" i="2"/>
  <c r="CB93" i="2"/>
  <c r="CB97" i="2"/>
  <c r="CB211" i="2"/>
  <c r="CC211" i="2" s="1"/>
  <c r="H237" i="2"/>
  <c r="BV237" i="2" s="1"/>
  <c r="BX237" i="2" s="1"/>
  <c r="BY237" i="2" s="1"/>
  <c r="CB36" i="2"/>
  <c r="H222" i="2"/>
  <c r="BV222" i="2" s="1"/>
  <c r="BX222" i="2" s="1"/>
  <c r="BY222" i="2" s="1"/>
  <c r="CB137" i="2"/>
  <c r="H234" i="2"/>
  <c r="BV234" i="2" s="1"/>
  <c r="BX234" i="2" s="1"/>
  <c r="BY234" i="2" s="1"/>
  <c r="CB85" i="2"/>
  <c r="CB192" i="2"/>
  <c r="CC192" i="2" s="1"/>
  <c r="CB55" i="2"/>
  <c r="CB125" i="2"/>
  <c r="CB52" i="2"/>
  <c r="CB151" i="2"/>
  <c r="H198" i="2"/>
  <c r="BV198" i="2" s="1"/>
  <c r="BX198" i="2" s="1"/>
  <c r="BY198" i="2" s="1"/>
  <c r="CB51" i="2"/>
  <c r="CB5" i="2"/>
  <c r="H235" i="2"/>
  <c r="BV235" i="2" s="1"/>
  <c r="BX235" i="2" s="1"/>
  <c r="BY235" i="2" s="1"/>
  <c r="CB13" i="2"/>
  <c r="CB69" i="2"/>
  <c r="CB6" i="2"/>
  <c r="H126" i="2"/>
  <c r="BV126" i="2" s="1"/>
  <c r="BX126" i="2" s="1"/>
  <c r="BY126" i="2" s="1"/>
  <c r="H194" i="2"/>
  <c r="BV194" i="2" s="1"/>
  <c r="BX194" i="2" s="1"/>
  <c r="BY194" i="2" s="1"/>
  <c r="H72" i="2"/>
  <c r="BV72" i="2" s="1"/>
  <c r="BX72" i="2" s="1"/>
  <c r="BY72" i="2" s="1"/>
  <c r="H80" i="2"/>
  <c r="BV80" i="2" s="1"/>
  <c r="BX80" i="2" s="1"/>
  <c r="BY80" i="2" s="1"/>
  <c r="H56" i="2"/>
  <c r="BV56" i="2" s="1"/>
  <c r="BX56" i="2" s="1"/>
  <c r="BY56" i="2" s="1"/>
  <c r="H192" i="2"/>
  <c r="BV192" i="2" s="1"/>
  <c r="BX192" i="2" s="1"/>
  <c r="BY192" i="2" s="1"/>
  <c r="H236" i="2"/>
  <c r="BV236" i="2" s="1"/>
  <c r="BX236" i="2" s="1"/>
  <c r="BY236" i="2" s="1"/>
  <c r="H62" i="2"/>
  <c r="BV62" i="2" s="1"/>
  <c r="BX62" i="2" s="1"/>
  <c r="BY62" i="2" s="1"/>
  <c r="H190" i="2"/>
  <c r="BV190" i="2" s="1"/>
  <c r="BX190" i="2" s="1"/>
  <c r="BY190" i="2" s="1"/>
  <c r="H191" i="2"/>
  <c r="BV191" i="2" s="1"/>
  <c r="BX191" i="2" s="1"/>
  <c r="BY191" i="2" s="1"/>
  <c r="H193" i="2"/>
  <c r="BV193" i="2" s="1"/>
  <c r="BX193" i="2" s="1"/>
  <c r="BY193" i="2" s="1"/>
  <c r="CS241" i="2" l="1"/>
  <c r="CP241" i="2"/>
  <c r="CR241" i="2"/>
  <c r="CO241" i="2"/>
  <c r="CP240" i="2"/>
  <c r="CS240" i="2"/>
  <c r="CR240" i="2"/>
  <c r="CQ240" i="2"/>
  <c r="CR244" i="2"/>
  <c r="CS244" i="2"/>
  <c r="CP244" i="2"/>
  <c r="CQ244" i="2"/>
  <c r="CO246" i="2"/>
  <c r="CS222" i="2"/>
  <c r="CP222" i="2"/>
  <c r="CO222" i="2"/>
  <c r="CR222" i="2"/>
  <c r="CO237" i="2"/>
  <c r="CS243" i="2"/>
  <c r="CR242" i="2"/>
  <c r="CR237" i="2"/>
  <c r="CO228" i="2"/>
  <c r="CQ237" i="2"/>
  <c r="CQ228" i="2"/>
  <c r="CP237" i="2"/>
  <c r="CP233" i="2"/>
  <c r="CO243" i="2"/>
  <c r="CP230" i="2"/>
  <c r="CP242" i="2"/>
  <c r="CR238" i="2"/>
  <c r="CO234" i="2"/>
  <c r="CQ234" i="2"/>
  <c r="CO236" i="2"/>
  <c r="CR228" i="2"/>
  <c r="CS228" i="2"/>
  <c r="CR225" i="2"/>
  <c r="CQ225" i="2"/>
  <c r="CS225" i="2"/>
  <c r="CP234" i="2"/>
  <c r="CR234" i="2"/>
  <c r="CQ238" i="2"/>
  <c r="CS226" i="2"/>
  <c r="CR232" i="2"/>
  <c r="CR226" i="2"/>
  <c r="CS232" i="2"/>
  <c r="CQ231" i="2"/>
  <c r="CQ220" i="2"/>
  <c r="CO231" i="2"/>
  <c r="CP236" i="2"/>
  <c r="CR229" i="2"/>
  <c r="CS236" i="2"/>
  <c r="CP246" i="2"/>
  <c r="CS229" i="2"/>
  <c r="CS223" i="2"/>
  <c r="CQ246" i="2"/>
  <c r="CR223" i="2"/>
  <c r="CR246" i="2"/>
  <c r="CP226" i="2"/>
  <c r="CQ226" i="2"/>
  <c r="CO232" i="2"/>
  <c r="CP232" i="2"/>
  <c r="CQ236" i="2"/>
  <c r="CR233" i="2"/>
  <c r="CP243" i="2"/>
  <c r="CQ243" i="2"/>
  <c r="CR230" i="2"/>
  <c r="CO225" i="2"/>
  <c r="CS242" i="2"/>
  <c r="CO233" i="2"/>
  <c r="CQ230" i="2"/>
  <c r="CS235" i="2"/>
  <c r="CS238" i="2"/>
  <c r="CR231" i="2"/>
  <c r="CP220" i="2"/>
  <c r="CP235" i="2"/>
  <c r="CR235" i="2"/>
  <c r="CO238" i="2"/>
  <c r="CP231" i="2"/>
  <c r="CS220" i="2"/>
  <c r="CQ235" i="2"/>
  <c r="CR220" i="2"/>
  <c r="CO242" i="2"/>
  <c r="CQ229" i="2"/>
  <c r="CO229" i="2"/>
  <c r="CQ233" i="2"/>
  <c r="CQ223" i="2"/>
  <c r="CS230" i="2"/>
  <c r="CP221" i="2"/>
  <c r="CR221" i="2"/>
  <c r="CQ221" i="2"/>
  <c r="CO221" i="2"/>
  <c r="CS221" i="2"/>
  <c r="CQ239" i="2"/>
  <c r="CO239" i="2"/>
  <c r="CS239" i="2"/>
  <c r="CR239" i="2"/>
  <c r="CP239" i="2"/>
  <c r="CO223" i="2"/>
  <c r="CQ224" i="2"/>
  <c r="CO224" i="2"/>
  <c r="CR224" i="2"/>
  <c r="CS224" i="2"/>
  <c r="CP224" i="2"/>
  <c r="CR245" i="2"/>
  <c r="CP245" i="2"/>
  <c r="CO245" i="2"/>
  <c r="CQ245" i="2"/>
  <c r="CS245" i="2"/>
  <c r="CP227" i="2"/>
  <c r="CQ227" i="2"/>
  <c r="CO227" i="2"/>
  <c r="CR227" i="2"/>
  <c r="CS227" i="2"/>
  <c r="CO212" i="2"/>
  <c r="CR212" i="2"/>
  <c r="CS212" i="2"/>
  <c r="CP212" i="2"/>
  <c r="CQ212" i="2"/>
  <c r="CO201" i="2"/>
  <c r="CS201" i="2"/>
  <c r="CQ201" i="2"/>
  <c r="CR201" i="2"/>
  <c r="CP201" i="2"/>
  <c r="CP184" i="2"/>
  <c r="CQ184" i="2"/>
  <c r="CS184" i="2"/>
  <c r="CO184" i="2"/>
  <c r="CR184" i="2"/>
  <c r="CS215" i="2"/>
  <c r="CP215" i="2"/>
  <c r="CO215" i="2"/>
  <c r="CQ215" i="2"/>
  <c r="CR215" i="2"/>
  <c r="CR217" i="2"/>
  <c r="CQ217" i="2"/>
  <c r="CO217" i="2"/>
  <c r="CS217" i="2"/>
  <c r="CP217" i="2"/>
  <c r="CR211" i="2"/>
  <c r="CP211" i="2"/>
  <c r="CS211" i="2"/>
  <c r="CO211" i="2"/>
  <c r="CQ211" i="2"/>
  <c r="CQ88" i="2"/>
  <c r="CO88" i="2"/>
  <c r="CR88" i="2"/>
  <c r="CS88" i="2"/>
  <c r="CP88" i="2"/>
  <c r="CQ191" i="2"/>
  <c r="CO191" i="2"/>
  <c r="CR191" i="2"/>
  <c r="CP191" i="2"/>
  <c r="CS191" i="2"/>
  <c r="CR193" i="2"/>
  <c r="CQ193" i="2"/>
  <c r="CO193" i="2"/>
  <c r="CS193" i="2"/>
  <c r="CP193" i="2"/>
  <c r="CS208" i="2"/>
  <c r="CP208" i="2"/>
  <c r="CO208" i="2"/>
  <c r="CQ208" i="2"/>
  <c r="CR208" i="2"/>
  <c r="CP203" i="2"/>
  <c r="CS203" i="2"/>
  <c r="CQ203" i="2"/>
  <c r="CR203" i="2"/>
  <c r="CO203" i="2"/>
  <c r="CQ207" i="2"/>
  <c r="CR207" i="2"/>
  <c r="CO207" i="2"/>
  <c r="CS207" i="2"/>
  <c r="CP207" i="2"/>
  <c r="CS199" i="2"/>
  <c r="CQ199" i="2"/>
  <c r="CP199" i="2"/>
  <c r="CO199" i="2"/>
  <c r="CR199" i="2"/>
  <c r="CO200" i="2"/>
  <c r="CR200" i="2"/>
  <c r="CS200" i="2"/>
  <c r="CQ200" i="2"/>
  <c r="CP200" i="2"/>
  <c r="CQ192" i="2"/>
  <c r="CO192" i="2"/>
  <c r="CR192" i="2"/>
  <c r="CP192" i="2"/>
  <c r="CS192" i="2"/>
  <c r="CO189" i="2"/>
  <c r="CS189" i="2"/>
  <c r="CP189" i="2"/>
  <c r="CQ189" i="2"/>
  <c r="CR189" i="2"/>
  <c r="CR218" i="2"/>
  <c r="CO218" i="2"/>
  <c r="CP218" i="2"/>
  <c r="CQ218" i="2"/>
  <c r="CS218" i="2"/>
  <c r="CR186" i="2"/>
  <c r="CO186" i="2"/>
  <c r="CP186" i="2"/>
  <c r="CS186" i="2"/>
  <c r="CQ186" i="2"/>
  <c r="CP196" i="2"/>
  <c r="CO196" i="2"/>
  <c r="CQ196" i="2"/>
  <c r="CR196" i="2"/>
  <c r="CS196" i="2"/>
  <c r="CS111" i="2"/>
  <c r="CR111" i="2"/>
  <c r="CP111" i="2"/>
  <c r="CQ111" i="2"/>
  <c r="CO111" i="2"/>
  <c r="CP194" i="2"/>
  <c r="CQ194" i="2"/>
  <c r="CS194" i="2"/>
  <c r="CO194" i="2"/>
  <c r="CR194" i="2"/>
  <c r="CQ198" i="2"/>
  <c r="CP198" i="2"/>
  <c r="CR198" i="2"/>
  <c r="CO198" i="2"/>
  <c r="CS198" i="2"/>
  <c r="CQ204" i="2"/>
  <c r="CO204" i="2"/>
  <c r="CR204" i="2"/>
  <c r="CS204" i="2"/>
  <c r="CP204" i="2"/>
  <c r="CP187" i="2"/>
  <c r="CO187" i="2"/>
  <c r="CQ187" i="2"/>
  <c r="CR187" i="2"/>
  <c r="CS187" i="2"/>
  <c r="CS188" i="2"/>
  <c r="CQ188" i="2"/>
  <c r="CP188" i="2"/>
  <c r="CO188" i="2"/>
  <c r="CR188" i="2"/>
  <c r="CP213" i="2"/>
  <c r="CR213" i="2"/>
  <c r="CQ213" i="2"/>
  <c r="CO213" i="2"/>
  <c r="CS213" i="2"/>
  <c r="CQ214" i="2"/>
  <c r="CP214" i="2"/>
  <c r="CR214" i="2"/>
  <c r="CS214" i="2"/>
  <c r="CO214" i="2"/>
  <c r="CR202" i="2"/>
  <c r="CO202" i="2"/>
  <c r="CQ202" i="2"/>
  <c r="CS202" i="2"/>
  <c r="CP202" i="2"/>
  <c r="CS190" i="2"/>
  <c r="CO190" i="2"/>
  <c r="CR190" i="2"/>
  <c r="CP190" i="2"/>
  <c r="CQ190" i="2"/>
  <c r="CP216" i="2"/>
  <c r="CQ216" i="2"/>
  <c r="CO216" i="2"/>
  <c r="CS216" i="2"/>
  <c r="CR216" i="2"/>
  <c r="CS206" i="2"/>
  <c r="CO206" i="2"/>
  <c r="CR206" i="2"/>
  <c r="CQ206" i="2"/>
  <c r="CP206" i="2"/>
  <c r="CR195" i="2"/>
  <c r="CO195" i="2"/>
  <c r="CS195" i="2"/>
  <c r="CP195" i="2"/>
  <c r="CQ195" i="2"/>
  <c r="CP209" i="2"/>
  <c r="CO209" i="2"/>
  <c r="CR209" i="2"/>
  <c r="CQ209" i="2"/>
  <c r="CS209" i="2"/>
  <c r="CP210" i="2"/>
  <c r="CQ210" i="2"/>
  <c r="CS210" i="2"/>
  <c r="CO210" i="2"/>
  <c r="CR210" i="2"/>
  <c r="CS197" i="2"/>
  <c r="CP197" i="2"/>
  <c r="CR197" i="2"/>
  <c r="CQ197" i="2"/>
  <c r="CO197" i="2"/>
  <c r="CS205" i="2"/>
  <c r="CP205" i="2"/>
  <c r="CO205" i="2"/>
  <c r="CQ205" i="2"/>
  <c r="CR205" i="2"/>
  <c r="CQ185" i="2"/>
  <c r="CR185" i="2"/>
  <c r="CP185" i="2"/>
  <c r="CS185" i="2"/>
  <c r="CO185" i="2"/>
  <c r="CP219" i="2"/>
  <c r="CS219" i="2"/>
  <c r="CQ219" i="2"/>
  <c r="CR219" i="2"/>
  <c r="CO219" i="2"/>
  <c r="H124" i="2" l="1"/>
  <c r="BV124" i="2" s="1"/>
  <c r="BX124" i="2" s="1"/>
  <c r="BY124" i="2" s="1"/>
  <c r="H88" i="2"/>
  <c r="BV88" i="2" s="1"/>
  <c r="BX88" i="2" s="1"/>
  <c r="BY88" i="2" s="1"/>
  <c r="H105" i="2"/>
  <c r="BV105" i="2" s="1"/>
  <c r="BX105" i="2" s="1"/>
  <c r="BY105" i="2" s="1"/>
  <c r="H75" i="2"/>
  <c r="BV75" i="2" s="1"/>
  <c r="BX75" i="2" s="1"/>
  <c r="BY75" i="2" s="1"/>
  <c r="H171" i="2"/>
  <c r="BV171" i="2" s="1"/>
  <c r="BX171" i="2" s="1"/>
  <c r="BY171" i="2" s="1"/>
  <c r="H151" i="2"/>
  <c r="BV151" i="2" s="1"/>
  <c r="BX151" i="2" s="1"/>
  <c r="BY151" i="2" s="1"/>
  <c r="H79" i="2"/>
  <c r="BV79" i="2" s="1"/>
  <c r="BX79" i="2" s="1"/>
  <c r="BY79" i="2" s="1"/>
  <c r="H128" i="2"/>
  <c r="BV128" i="2" s="1"/>
  <c r="BX128" i="2" s="1"/>
  <c r="BY128" i="2" s="1"/>
  <c r="H19" i="2"/>
  <c r="BV19" i="2" s="1"/>
  <c r="BX19" i="2" s="1"/>
  <c r="BY19" i="2" s="1"/>
  <c r="H97" i="2"/>
  <c r="BV97" i="2" s="1"/>
  <c r="BX97" i="2" s="1"/>
  <c r="BY97" i="2" s="1"/>
  <c r="H185" i="2"/>
  <c r="BV185" i="2" s="1"/>
  <c r="BX185" i="2" s="1"/>
  <c r="BY185" i="2" s="1"/>
  <c r="H161" i="2"/>
  <c r="BV161" i="2" s="1"/>
  <c r="BX161" i="2" s="1"/>
  <c r="BY161" i="2" s="1"/>
  <c r="H131" i="2"/>
  <c r="BV131" i="2" s="1"/>
  <c r="BX131" i="2" s="1"/>
  <c r="BY131" i="2" s="1"/>
  <c r="H132" i="2"/>
  <c r="BV132" i="2" s="1"/>
  <c r="BX132" i="2" s="1"/>
  <c r="BY132" i="2" s="1"/>
  <c r="H135" i="2"/>
  <c r="BV135" i="2" s="1"/>
  <c r="BX135" i="2" s="1"/>
  <c r="BY135" i="2" s="1"/>
  <c r="H127" i="2"/>
  <c r="BV127" i="2" s="1"/>
  <c r="BX127" i="2" s="1"/>
  <c r="BY127" i="2" s="1"/>
  <c r="H14" i="2"/>
  <c r="BV14" i="2" s="1"/>
  <c r="BX14" i="2" s="1"/>
  <c r="BY14" i="2" s="1"/>
  <c r="H89" i="2"/>
  <c r="BV89" i="2" s="1"/>
  <c r="BX89" i="2" s="1"/>
  <c r="BY89" i="2" s="1"/>
  <c r="H54" i="2"/>
  <c r="BV54" i="2" s="1"/>
  <c r="BX54" i="2" s="1"/>
  <c r="BY54" i="2" s="1"/>
  <c r="H37" i="2"/>
  <c r="BV37" i="2" s="1"/>
  <c r="BX37" i="2" s="1"/>
  <c r="BY37" i="2" s="1"/>
  <c r="H52" i="2"/>
  <c r="BV52" i="2" s="1"/>
  <c r="BX52" i="2" s="1"/>
  <c r="BY52" i="2" s="1"/>
  <c r="H96" i="2"/>
  <c r="BV96" i="2" s="1"/>
  <c r="BX96" i="2" s="1"/>
  <c r="BY96" i="2" s="1"/>
  <c r="H157" i="2"/>
  <c r="BV157" i="2" s="1"/>
  <c r="BX157" i="2" s="1"/>
  <c r="BY157" i="2" s="1"/>
  <c r="H58" i="2"/>
  <c r="BV58" i="2" s="1"/>
  <c r="BX58" i="2" s="1"/>
  <c r="BY58" i="2" s="1"/>
  <c r="H179" i="2"/>
  <c r="BV179" i="2" s="1"/>
  <c r="BX179" i="2" s="1"/>
  <c r="BY179" i="2" s="1"/>
  <c r="H51" i="2"/>
  <c r="BV51" i="2" s="1"/>
  <c r="BX51" i="2" s="1"/>
  <c r="BY51" i="2" s="1"/>
  <c r="H104" i="2"/>
  <c r="BV104" i="2" s="1"/>
  <c r="BX104" i="2" s="1"/>
  <c r="BY104" i="2" s="1"/>
  <c r="H5" i="2"/>
  <c r="BV5" i="2" s="1"/>
  <c r="BX5" i="2" s="1"/>
  <c r="BY5" i="2" s="1"/>
  <c r="H173" i="2"/>
  <c r="BV173" i="2" s="1"/>
  <c r="BX173" i="2" s="1"/>
  <c r="BY173" i="2" s="1"/>
  <c r="H145" i="2"/>
  <c r="BV145" i="2" s="1"/>
  <c r="BX145" i="2" s="1"/>
  <c r="BY145" i="2" s="1"/>
  <c r="H107" i="2"/>
  <c r="BV107" i="2" s="1"/>
  <c r="BX107" i="2" s="1"/>
  <c r="BY107" i="2" s="1"/>
  <c r="H60" i="2"/>
  <c r="BV60" i="2" s="1"/>
  <c r="BX60" i="2" s="1"/>
  <c r="BY60" i="2" s="1"/>
  <c r="H42" i="2"/>
  <c r="BV42" i="2" s="1"/>
  <c r="BX42" i="2" s="1"/>
  <c r="BY42" i="2" s="1"/>
  <c r="H38" i="2"/>
  <c r="BV38" i="2" s="1"/>
  <c r="BX38" i="2" s="1"/>
  <c r="BY38" i="2" s="1"/>
  <c r="H170" i="2"/>
  <c r="BV170" i="2" s="1"/>
  <c r="BX170" i="2" s="1"/>
  <c r="BY170" i="2" s="1"/>
  <c r="H162" i="2"/>
  <c r="BV162" i="2" s="1"/>
  <c r="BX162" i="2" s="1"/>
  <c r="BY162" i="2" s="1"/>
  <c r="H138" i="2"/>
  <c r="BV138" i="2" s="1"/>
  <c r="BX138" i="2" s="1"/>
  <c r="BY138" i="2" s="1"/>
  <c r="BV11" i="2"/>
  <c r="BX11" i="2" s="1"/>
  <c r="BY11" i="2" s="1"/>
  <c r="H59" i="2"/>
  <c r="BV59" i="2" s="1"/>
  <c r="BX59" i="2" s="1"/>
  <c r="BY59" i="2" s="1"/>
  <c r="H49" i="2"/>
  <c r="BV49" i="2" s="1"/>
  <c r="BX49" i="2" s="1"/>
  <c r="BY49" i="2" s="1"/>
  <c r="H166" i="2"/>
  <c r="BV166" i="2" s="1"/>
  <c r="BX166" i="2" s="1"/>
  <c r="BY166" i="2" s="1"/>
  <c r="H121" i="2"/>
  <c r="BV121" i="2" s="1"/>
  <c r="BX121" i="2" s="1"/>
  <c r="BY121" i="2" s="1"/>
  <c r="H100" i="2"/>
  <c r="BV100" i="2" s="1"/>
  <c r="BX100" i="2" s="1"/>
  <c r="BY100" i="2" s="1"/>
  <c r="H74" i="2"/>
  <c r="BV74" i="2" s="1"/>
  <c r="BX74" i="2" s="1"/>
  <c r="BY74" i="2" s="1"/>
  <c r="H158" i="2"/>
  <c r="BV158" i="2" s="1"/>
  <c r="BX158" i="2" s="1"/>
  <c r="BY158" i="2" s="1"/>
  <c r="H147" i="2"/>
  <c r="BV147" i="2" s="1"/>
  <c r="BX147" i="2" s="1"/>
  <c r="BY147" i="2" s="1"/>
  <c r="H134" i="2"/>
  <c r="BV134" i="2" s="1"/>
  <c r="BX134" i="2" s="1"/>
  <c r="BY134" i="2" s="1"/>
  <c r="H67" i="2"/>
  <c r="BV67" i="2" s="1"/>
  <c r="BX67" i="2" s="1"/>
  <c r="BY67" i="2" s="1"/>
  <c r="H146" i="2"/>
  <c r="BV146" i="2" s="1"/>
  <c r="BX146" i="2" s="1"/>
  <c r="BY146" i="2" s="1"/>
  <c r="H174" i="2"/>
  <c r="BV174" i="2" s="1"/>
  <c r="BX174" i="2" s="1"/>
  <c r="BY174" i="2" s="1"/>
  <c r="H98" i="2"/>
  <c r="BV98" i="2" s="1"/>
  <c r="BX98" i="2" s="1"/>
  <c r="BY98" i="2" s="1"/>
  <c r="H164" i="2"/>
  <c r="BV164" i="2" s="1"/>
  <c r="BX164" i="2" s="1"/>
  <c r="BY164" i="2" s="1"/>
  <c r="H177" i="2"/>
  <c r="BV177" i="2" s="1"/>
  <c r="BX177" i="2" s="1"/>
  <c r="BY177" i="2" s="1"/>
  <c r="H111" i="2"/>
  <c r="BV111" i="2" s="1"/>
  <c r="BX111" i="2" s="1"/>
  <c r="BY111" i="2" s="1"/>
  <c r="H8" i="2"/>
  <c r="BV8" i="2" s="1"/>
  <c r="BX8" i="2" s="1"/>
  <c r="BY8" i="2" s="1"/>
  <c r="H26" i="2"/>
  <c r="BV26" i="2" s="1"/>
  <c r="BX26" i="2" s="1"/>
  <c r="BY26" i="2" s="1"/>
  <c r="H176" i="2"/>
  <c r="BV176" i="2" s="1"/>
  <c r="BX176" i="2" s="1"/>
  <c r="BY176" i="2" s="1"/>
  <c r="H41" i="2"/>
  <c r="BV41" i="2" s="1"/>
  <c r="BX41" i="2" s="1"/>
  <c r="BY41" i="2" s="1"/>
  <c r="H12" i="2"/>
  <c r="BV12" i="2" s="1"/>
  <c r="BX12" i="2" s="1"/>
  <c r="BY12" i="2" s="1"/>
  <c r="H43" i="2"/>
  <c r="BV43" i="2" s="1"/>
  <c r="BX43" i="2" s="1"/>
  <c r="BY43" i="2" s="1"/>
  <c r="H31" i="2"/>
  <c r="BV31" i="2" s="1"/>
  <c r="BX31" i="2" s="1"/>
  <c r="BY31" i="2" s="1"/>
  <c r="H175" i="2"/>
  <c r="BV175" i="2" s="1"/>
  <c r="BX175" i="2" s="1"/>
  <c r="BY175" i="2" s="1"/>
  <c r="H78" i="2"/>
  <c r="BV78" i="2" s="1"/>
  <c r="BX78" i="2" s="1"/>
  <c r="BY78" i="2" s="1"/>
  <c r="H102" i="2"/>
  <c r="BV102" i="2" s="1"/>
  <c r="BX102" i="2" s="1"/>
  <c r="BY102" i="2" s="1"/>
  <c r="H82" i="2"/>
  <c r="BV82" i="2" s="1"/>
  <c r="BX82" i="2" s="1"/>
  <c r="BY82" i="2" s="1"/>
  <c r="H68" i="2"/>
  <c r="BV68" i="2" s="1"/>
  <c r="BX68" i="2" s="1"/>
  <c r="BY68" i="2" s="1"/>
  <c r="H189" i="2"/>
  <c r="BV189" i="2" s="1"/>
  <c r="BX189" i="2" s="1"/>
  <c r="BY189" i="2" s="1"/>
  <c r="H169" i="2"/>
  <c r="BV169" i="2" s="1"/>
  <c r="BX169" i="2" s="1"/>
  <c r="BY169" i="2" s="1"/>
  <c r="H141" i="2"/>
  <c r="BV141" i="2" s="1"/>
  <c r="BX141" i="2" s="1"/>
  <c r="BY141" i="2" s="1"/>
  <c r="H95" i="2"/>
  <c r="BV95" i="2" s="1"/>
  <c r="BX95" i="2" s="1"/>
  <c r="BY95" i="2" s="1"/>
  <c r="H90" i="2"/>
  <c r="BV90" i="2" s="1"/>
  <c r="BX90" i="2" s="1"/>
  <c r="BY90" i="2" s="1"/>
  <c r="H77" i="2"/>
  <c r="BV77" i="2" s="1"/>
  <c r="BX77" i="2" s="1"/>
  <c r="BY77" i="2" s="1"/>
  <c r="H40" i="2"/>
  <c r="BV40" i="2" s="1"/>
  <c r="H28" i="2"/>
  <c r="BV28" i="2" s="1"/>
  <c r="H15" i="2"/>
  <c r="BV15" i="2" s="1"/>
  <c r="BX15" i="2" s="1"/>
  <c r="BY15" i="2" s="1"/>
  <c r="H114" i="2"/>
  <c r="BV114" i="2" s="1"/>
  <c r="BX114" i="2" s="1"/>
  <c r="BY114" i="2" s="1"/>
  <c r="H110" i="2"/>
  <c r="BV110" i="2" s="1"/>
  <c r="BX110" i="2" s="1"/>
  <c r="BY110" i="2" s="1"/>
  <c r="H81" i="2"/>
  <c r="BV81" i="2" s="1"/>
  <c r="BX81" i="2" s="1"/>
  <c r="BY81" i="2" s="1"/>
  <c r="H101" i="2"/>
  <c r="BV101" i="2" s="1"/>
  <c r="BX101" i="2" s="1"/>
  <c r="BY101" i="2" s="1"/>
  <c r="H36" i="2"/>
  <c r="BV36" i="2" s="1"/>
  <c r="BX36" i="2" s="1"/>
  <c r="BY36" i="2" s="1"/>
  <c r="H10" i="2"/>
  <c r="BV10" i="2" s="1"/>
  <c r="BX10" i="2" s="1"/>
  <c r="BY10" i="2" s="1"/>
  <c r="H178" i="2"/>
  <c r="BV178" i="2" s="1"/>
  <c r="BX178" i="2" s="1"/>
  <c r="BY178" i="2" s="1"/>
  <c r="H29" i="2"/>
  <c r="BV29" i="2" s="1"/>
  <c r="BX29" i="2" s="1"/>
  <c r="BY29" i="2" s="1"/>
  <c r="H165" i="2"/>
  <c r="BV165" i="2" s="1"/>
  <c r="BX165" i="2" s="1"/>
  <c r="BY165" i="2" s="1"/>
  <c r="H160" i="2"/>
  <c r="BV160" i="2" s="1"/>
  <c r="BX160" i="2" s="1"/>
  <c r="BY160" i="2" s="1"/>
  <c r="H120" i="2"/>
  <c r="BV120" i="2" s="1"/>
  <c r="BX120" i="2" s="1"/>
  <c r="BY120" i="2" s="1"/>
  <c r="H188" i="2"/>
  <c r="BV188" i="2" s="1"/>
  <c r="BX188" i="2" s="1"/>
  <c r="BY188" i="2" s="1"/>
  <c r="H123" i="2"/>
  <c r="BV123" i="2" s="1"/>
  <c r="BX123" i="2" s="1"/>
  <c r="BY123" i="2" s="1"/>
  <c r="H84" i="2"/>
  <c r="BV84" i="2" s="1"/>
  <c r="BX84" i="2" s="1"/>
  <c r="BY84" i="2" s="1"/>
  <c r="H144" i="2"/>
  <c r="BV144" i="2" s="1"/>
  <c r="BX144" i="2" s="1"/>
  <c r="BY144" i="2" s="1"/>
  <c r="H112" i="2"/>
  <c r="BV112" i="2" s="1"/>
  <c r="BX112" i="2" s="1"/>
  <c r="BY112" i="2" s="1"/>
  <c r="H73" i="2"/>
  <c r="BV73" i="2" s="1"/>
  <c r="BX73" i="2" s="1"/>
  <c r="BY73" i="2" s="1"/>
  <c r="H167" i="2"/>
  <c r="BV167" i="2" s="1"/>
  <c r="BX167" i="2" s="1"/>
  <c r="BY167" i="2" s="1"/>
  <c r="H63" i="2"/>
  <c r="BV63" i="2" s="1"/>
  <c r="BX63" i="2" s="1"/>
  <c r="BY63" i="2" s="1"/>
  <c r="H6" i="2"/>
  <c r="BV6" i="2" s="1"/>
  <c r="BX6" i="2" s="1"/>
  <c r="BY6" i="2" s="1"/>
  <c r="H125" i="2"/>
  <c r="BV125" i="2" s="1"/>
  <c r="BX125" i="2" s="1"/>
  <c r="BY125" i="2" s="1"/>
  <c r="H33" i="2"/>
  <c r="BV33" i="2" s="1"/>
  <c r="BX33" i="2" s="1"/>
  <c r="BY33" i="2" s="1"/>
  <c r="H119" i="2"/>
  <c r="BV119" i="2" s="1"/>
  <c r="BX119" i="2" s="1"/>
  <c r="BY119" i="2" s="1"/>
  <c r="H87" i="2"/>
  <c r="BV87" i="2" s="1"/>
  <c r="BX87" i="2" s="1"/>
  <c r="BY87" i="2" s="1"/>
  <c r="H45" i="2"/>
  <c r="BV45" i="2" s="1"/>
  <c r="BX45" i="2" s="1"/>
  <c r="BY45" i="2" s="1"/>
  <c r="H7" i="2"/>
  <c r="BV7" i="2" s="1"/>
  <c r="BX7" i="2" s="1"/>
  <c r="BY7" i="2" s="1"/>
  <c r="H113" i="2"/>
  <c r="BV113" i="2" s="1"/>
  <c r="BX113" i="2" s="1"/>
  <c r="BY113" i="2" s="1"/>
  <c r="H181" i="2"/>
  <c r="BV181" i="2" s="1"/>
  <c r="BX181" i="2" s="1"/>
  <c r="BY181" i="2" s="1"/>
  <c r="H122" i="2"/>
  <c r="BV122" i="2" s="1"/>
  <c r="BX122" i="2" s="1"/>
  <c r="BY122" i="2" s="1"/>
  <c r="H187" i="2"/>
  <c r="BV187" i="2" s="1"/>
  <c r="BX187" i="2" s="1"/>
  <c r="BY187" i="2" s="1"/>
  <c r="H66" i="2"/>
  <c r="BV66" i="2" s="1"/>
  <c r="BX66" i="2" s="1"/>
  <c r="BY66" i="2" s="1"/>
  <c r="H117" i="2"/>
  <c r="BV117" i="2" s="1"/>
  <c r="BX117" i="2" s="1"/>
  <c r="BY117" i="2" s="1"/>
  <c r="H35" i="2"/>
  <c r="BV35" i="2" s="1"/>
  <c r="BX35" i="2" s="1"/>
  <c r="BY35" i="2" s="1"/>
  <c r="H94" i="2"/>
  <c r="BV94" i="2" s="1"/>
  <c r="BX94" i="2" s="1"/>
  <c r="BY94" i="2" s="1"/>
  <c r="H61" i="2"/>
  <c r="BV61" i="2" s="1"/>
  <c r="H159" i="2"/>
  <c r="BV159" i="2" s="1"/>
  <c r="BX159" i="2" s="1"/>
  <c r="BY159" i="2" s="1"/>
  <c r="H44" i="2"/>
  <c r="BV44" i="2" s="1"/>
  <c r="BX44" i="2" s="1"/>
  <c r="BY44" i="2" s="1"/>
  <c r="H92" i="2"/>
  <c r="BV92" i="2" s="1"/>
  <c r="BX92" i="2" s="1"/>
  <c r="BY92" i="2" s="1"/>
  <c r="H55" i="2"/>
  <c r="BV55" i="2" s="1"/>
  <c r="BX55" i="2" s="1"/>
  <c r="BY55" i="2" s="1"/>
  <c r="H168" i="2"/>
  <c r="BV168" i="2" s="1"/>
  <c r="BX168" i="2" s="1"/>
  <c r="BY168" i="2" s="1"/>
  <c r="H182" i="2"/>
  <c r="BV182" i="2" s="1"/>
  <c r="BX182" i="2" s="1"/>
  <c r="BY182" i="2" s="1"/>
  <c r="H149" i="2"/>
  <c r="BV149" i="2" s="1"/>
  <c r="BX149" i="2" s="1"/>
  <c r="BY149" i="2" s="1"/>
  <c r="H32" i="2"/>
  <c r="BV32" i="2" s="1"/>
  <c r="BX32" i="2" s="1"/>
  <c r="BY32" i="2" s="1"/>
  <c r="H91" i="2"/>
  <c r="BV91" i="2" s="1"/>
  <c r="BX91" i="2" s="1"/>
  <c r="BY91" i="2" s="1"/>
  <c r="CA170" i="2"/>
  <c r="CC170" i="2" s="1"/>
  <c r="CA97" i="2"/>
  <c r="CA7" i="2"/>
  <c r="CA130" i="2"/>
  <c r="CA173" i="2"/>
  <c r="CA32" i="2"/>
  <c r="CA52" i="2"/>
  <c r="CA161" i="2"/>
  <c r="CA72" i="2"/>
  <c r="CA101" i="2"/>
  <c r="CC101" i="2" s="1"/>
  <c r="CA56" i="2"/>
  <c r="CA157" i="2"/>
  <c r="CA154" i="2"/>
  <c r="CA102" i="2"/>
  <c r="CA58" i="2"/>
  <c r="CA41" i="2"/>
  <c r="CC41" i="2" s="1"/>
  <c r="CQ41" i="2" s="1"/>
  <c r="CA182" i="2"/>
  <c r="CA98" i="2"/>
  <c r="CA119" i="2"/>
  <c r="CC119" i="2" s="1"/>
  <c r="CA85" i="2"/>
  <c r="CC85" i="2" s="1"/>
  <c r="CA135" i="2"/>
  <c r="CC135" i="2" s="1"/>
  <c r="CR135" i="2" s="1"/>
  <c r="CA77" i="2"/>
  <c r="CC77" i="2" s="1"/>
  <c r="CA152" i="2"/>
  <c r="CA27" i="2"/>
  <c r="CA149" i="2"/>
  <c r="CA91" i="2"/>
  <c r="CC91" i="2" s="1"/>
  <c r="CP91" i="2" s="1"/>
  <c r="CA162" i="2"/>
  <c r="CC162" i="2" s="1"/>
  <c r="H154" i="2"/>
  <c r="BV154" i="2" s="1"/>
  <c r="BX154" i="2" s="1"/>
  <c r="BY154" i="2" s="1"/>
  <c r="CA22" i="2"/>
  <c r="CA164" i="2"/>
  <c r="CA143" i="2"/>
  <c r="CA90" i="2"/>
  <c r="CA39" i="2"/>
  <c r="CA12" i="2"/>
  <c r="CA148" i="2"/>
  <c r="CC148" i="2" s="1"/>
  <c r="CQ148" i="2" s="1"/>
  <c r="CA121" i="2"/>
  <c r="CC121" i="2" s="1"/>
  <c r="CO121" i="2" s="1"/>
  <c r="CA76" i="2"/>
  <c r="CC76" i="2" s="1"/>
  <c r="CR76" i="2" s="1"/>
  <c r="CA31" i="2"/>
  <c r="CA36" i="2"/>
  <c r="CC36" i="2" s="1"/>
  <c r="CP36" i="2" s="1"/>
  <c r="CA125" i="2"/>
  <c r="CA14" i="2"/>
  <c r="CC14" i="2" s="1"/>
  <c r="CS14" i="2" s="1"/>
  <c r="CA132" i="2"/>
  <c r="CA137" i="2"/>
  <c r="CC137" i="2" s="1"/>
  <c r="CQ137" i="2" s="1"/>
  <c r="CA178" i="2"/>
  <c r="CC178" i="2" s="1"/>
  <c r="CA33" i="2"/>
  <c r="CC33" i="2" s="1"/>
  <c r="CO33" i="2" s="1"/>
  <c r="CA99" i="2"/>
  <c r="CA37" i="2"/>
  <c r="CC37" i="2" s="1"/>
  <c r="CA179" i="2"/>
  <c r="CA145" i="2"/>
  <c r="CC145" i="2" s="1"/>
  <c r="CA123" i="2"/>
  <c r="CA62" i="2"/>
  <c r="CA67" i="2"/>
  <c r="CC67" i="2" s="1"/>
  <c r="CA42" i="2"/>
  <c r="CC42" i="2" s="1"/>
  <c r="CP42" i="2" s="1"/>
  <c r="CA104" i="2"/>
  <c r="CA40" i="2"/>
  <c r="H65" i="2"/>
  <c r="BV65" i="2" s="1"/>
  <c r="BX65" i="2" s="1"/>
  <c r="BY65" i="2" s="1"/>
  <c r="H57" i="2"/>
  <c r="BV57" i="2" s="1"/>
  <c r="BX57" i="2" s="1"/>
  <c r="BY57" i="2" s="1"/>
  <c r="H109" i="2"/>
  <c r="BV109" i="2" s="1"/>
  <c r="BX109" i="2" s="1"/>
  <c r="BY109" i="2" s="1"/>
  <c r="CA50" i="2"/>
  <c r="CA112" i="2"/>
  <c r="CA49" i="2"/>
  <c r="CA46" i="2"/>
  <c r="CA156" i="2"/>
  <c r="CA57" i="2"/>
  <c r="CC57" i="2" s="1"/>
  <c r="CA93" i="2"/>
  <c r="CA69" i="2"/>
  <c r="CA84" i="2"/>
  <c r="H139" i="2"/>
  <c r="BV139" i="2" s="1"/>
  <c r="BX139" i="2" s="1"/>
  <c r="BY139" i="2" s="1"/>
  <c r="H148" i="2"/>
  <c r="BV148" i="2" s="1"/>
  <c r="BX148" i="2" s="1"/>
  <c r="BY148" i="2" s="1"/>
  <c r="H18" i="2"/>
  <c r="BV18" i="2" s="1"/>
  <c r="BX18" i="2" s="1"/>
  <c r="BY18" i="2" s="1"/>
  <c r="H118" i="2"/>
  <c r="BV118" i="2" s="1"/>
  <c r="BX118" i="2" s="1"/>
  <c r="BY118" i="2" s="1"/>
  <c r="H39" i="2"/>
  <c r="BV39" i="2" s="1"/>
  <c r="BX39" i="2" s="1"/>
  <c r="BY39" i="2" s="1"/>
  <c r="H30" i="2"/>
  <c r="BV30" i="2" s="1"/>
  <c r="BX30" i="2" s="1"/>
  <c r="BY30" i="2" s="1"/>
  <c r="H16" i="2"/>
  <c r="BV16" i="2" s="1"/>
  <c r="BX16" i="2" s="1"/>
  <c r="BY16" i="2" s="1"/>
  <c r="H140" i="2"/>
  <c r="BV140" i="2" s="1"/>
  <c r="BX140" i="2" s="1"/>
  <c r="BY140" i="2" s="1"/>
  <c r="H155" i="2"/>
  <c r="BV155" i="2" s="1"/>
  <c r="BX155" i="2" s="1"/>
  <c r="BY155" i="2" s="1"/>
  <c r="H152" i="2"/>
  <c r="BV152" i="2" s="1"/>
  <c r="BX152" i="2" s="1"/>
  <c r="BY152" i="2" s="1"/>
  <c r="H143" i="2"/>
  <c r="BV143" i="2" s="1"/>
  <c r="BX143" i="2" s="1"/>
  <c r="BY143" i="2" s="1"/>
  <c r="H85" i="2"/>
  <c r="BV85" i="2" s="1"/>
  <c r="BX85" i="2" s="1"/>
  <c r="BY85" i="2" s="1"/>
  <c r="H34" i="2"/>
  <c r="BV34" i="2" s="1"/>
  <c r="BX34" i="2" s="1"/>
  <c r="BY34" i="2" s="1"/>
  <c r="H184" i="2"/>
  <c r="BV184" i="2" s="1"/>
  <c r="BX184" i="2" s="1"/>
  <c r="BY184" i="2" s="1"/>
  <c r="H46" i="2"/>
  <c r="BV46" i="2" s="1"/>
  <c r="BX46" i="2" s="1"/>
  <c r="BY46" i="2" s="1"/>
  <c r="H133" i="2"/>
  <c r="BV133" i="2" s="1"/>
  <c r="BX133" i="2" s="1"/>
  <c r="BY133" i="2" s="1"/>
  <c r="H130" i="2"/>
  <c r="BV130" i="2" s="1"/>
  <c r="BX130" i="2" s="1"/>
  <c r="BY130" i="2" s="1"/>
  <c r="H108" i="2"/>
  <c r="BV108" i="2" s="1"/>
  <c r="BX108" i="2" s="1"/>
  <c r="BY108" i="2" s="1"/>
  <c r="H186" i="2"/>
  <c r="BV186" i="2" s="1"/>
  <c r="BX186" i="2" s="1"/>
  <c r="BY186" i="2" s="1"/>
  <c r="H53" i="2"/>
  <c r="BV53" i="2" s="1"/>
  <c r="BX53" i="2" s="1"/>
  <c r="BY53" i="2" s="1"/>
  <c r="BV70" i="2"/>
  <c r="BX70" i="2" s="1"/>
  <c r="BY70" i="2" s="1"/>
  <c r="H83" i="2"/>
  <c r="BV83" i="2" s="1"/>
  <c r="BX83" i="2" s="1"/>
  <c r="BY83" i="2" s="1"/>
  <c r="H115" i="2"/>
  <c r="BV115" i="2" s="1"/>
  <c r="BX115" i="2" s="1"/>
  <c r="BY115" i="2" s="1"/>
  <c r="CA66" i="2"/>
  <c r="CA151" i="2"/>
  <c r="CC151" i="2" s="1"/>
  <c r="CA169" i="2"/>
  <c r="CA172" i="2"/>
  <c r="CC172" i="2" s="1"/>
  <c r="CA174" i="2"/>
  <c r="CC174" i="2" s="1"/>
  <c r="CR174" i="2" s="1"/>
  <c r="CA30" i="2"/>
  <c r="CC30" i="2" s="1"/>
  <c r="CO30" i="2" s="1"/>
  <c r="CA142" i="2"/>
  <c r="CA106" i="2"/>
  <c r="CA29" i="2"/>
  <c r="CA11" i="2"/>
  <c r="CA117" i="2"/>
  <c r="CA6" i="2"/>
  <c r="H76" i="2"/>
  <c r="BV76" i="2" s="1"/>
  <c r="BX76" i="2" s="1"/>
  <c r="BY76" i="2" s="1"/>
  <c r="H50" i="2"/>
  <c r="BV50" i="2" s="1"/>
  <c r="BX50" i="2" s="1"/>
  <c r="BY50" i="2" s="1"/>
  <c r="H64" i="2"/>
  <c r="BV64" i="2" s="1"/>
  <c r="BX64" i="2" s="1"/>
  <c r="BY64" i="2" s="1"/>
  <c r="CA92" i="2"/>
  <c r="CC92" i="2" s="1"/>
  <c r="CA63" i="2"/>
  <c r="CC63" i="2" s="1"/>
  <c r="CQ63" i="2" s="1"/>
  <c r="CA168" i="2"/>
  <c r="CA45" i="2"/>
  <c r="CA28" i="2"/>
  <c r="CA103" i="2"/>
  <c r="CC103" i="2" s="1"/>
  <c r="H103" i="2"/>
  <c r="BV103" i="2" s="1"/>
  <c r="BX103" i="2" s="1"/>
  <c r="BY103" i="2" s="1"/>
  <c r="H20" i="2"/>
  <c r="BV20" i="2" s="1"/>
  <c r="BX20" i="2" s="1"/>
  <c r="BY20" i="2" s="1"/>
  <c r="H71" i="2"/>
  <c r="BV71" i="2" s="1"/>
  <c r="BX71" i="2" s="1"/>
  <c r="BY71" i="2" s="1"/>
  <c r="H136" i="2"/>
  <c r="BV136" i="2" s="1"/>
  <c r="BX136" i="2" s="1"/>
  <c r="BY136" i="2" s="1"/>
  <c r="H13" i="2"/>
  <c r="BV13" i="2" s="1"/>
  <c r="BX13" i="2" s="1"/>
  <c r="BY13" i="2" s="1"/>
  <c r="H99" i="2"/>
  <c r="BV99" i="2" s="1"/>
  <c r="BX99" i="2" s="1"/>
  <c r="BY99" i="2" s="1"/>
  <c r="H69" i="2"/>
  <c r="BV69" i="2" s="1"/>
  <c r="BX69" i="2" s="1"/>
  <c r="BY69" i="2" s="1"/>
  <c r="H172" i="2"/>
  <c r="BV172" i="2" s="1"/>
  <c r="BX172" i="2" s="1"/>
  <c r="BY172" i="2" s="1"/>
  <c r="H17" i="2"/>
  <c r="BV17" i="2" s="1"/>
  <c r="BX17" i="2" s="1"/>
  <c r="BY17" i="2" s="1"/>
  <c r="H9" i="2"/>
  <c r="BV9" i="2" s="1"/>
  <c r="BX9" i="2" s="1"/>
  <c r="BY9" i="2" s="1"/>
  <c r="H47" i="2"/>
  <c r="BV47" i="2" s="1"/>
  <c r="BX47" i="2" s="1"/>
  <c r="BY47" i="2" s="1"/>
  <c r="H153" i="2"/>
  <c r="BV153" i="2" s="1"/>
  <c r="BX153" i="2" s="1"/>
  <c r="BY153" i="2" s="1"/>
  <c r="H150" i="2"/>
  <c r="BV150" i="2" s="1"/>
  <c r="BX150" i="2" s="1"/>
  <c r="BY150" i="2" s="1"/>
  <c r="H142" i="2"/>
  <c r="BV142" i="2" s="1"/>
  <c r="BX142" i="2" s="1"/>
  <c r="BY142" i="2" s="1"/>
  <c r="H180" i="2"/>
  <c r="BV180" i="2" s="1"/>
  <c r="BX180" i="2" s="1"/>
  <c r="BY180" i="2" s="1"/>
  <c r="H86" i="2"/>
  <c r="BV86" i="2" s="1"/>
  <c r="BX86" i="2" s="1"/>
  <c r="BY86" i="2" s="1"/>
  <c r="H137" i="2"/>
  <c r="BV137" i="2" s="1"/>
  <c r="BX137" i="2" s="1"/>
  <c r="BY137" i="2" s="1"/>
  <c r="H106" i="2"/>
  <c r="BV106" i="2" s="1"/>
  <c r="BX106" i="2" s="1"/>
  <c r="BY106" i="2" s="1"/>
  <c r="H129" i="2"/>
  <c r="BV129" i="2" s="1"/>
  <c r="BX129" i="2" s="1"/>
  <c r="BY129" i="2" s="1"/>
  <c r="H48" i="2"/>
  <c r="BV48" i="2" s="1"/>
  <c r="BX48" i="2" s="1"/>
  <c r="BY48" i="2" s="1"/>
  <c r="CA110" i="2"/>
  <c r="CA139" i="2"/>
  <c r="CA55" i="2"/>
  <c r="H156" i="2"/>
  <c r="BV156" i="2" s="1"/>
  <c r="BX156" i="2" s="1"/>
  <c r="BY156" i="2" s="1"/>
  <c r="CA75" i="2"/>
  <c r="CA80" i="2"/>
  <c r="CC80" i="2" s="1"/>
  <c r="CP80" i="2" s="1"/>
  <c r="CA81" i="2"/>
  <c r="CA126" i="2"/>
  <c r="CC126" i="2" s="1"/>
  <c r="CO126" i="2" s="1"/>
  <c r="CA13" i="2"/>
  <c r="CC13" i="2" s="1"/>
  <c r="CA100" i="2"/>
  <c r="CC100" i="2" s="1"/>
  <c r="CP100" i="2" s="1"/>
  <c r="CA47" i="2"/>
  <c r="CA114" i="2"/>
  <c r="CC114" i="2" s="1"/>
  <c r="CR114" i="2" s="1"/>
  <c r="CA153" i="2"/>
  <c r="CC153" i="2" s="1"/>
  <c r="CQ153" i="2" s="1"/>
  <c r="CA159" i="2"/>
  <c r="CC159" i="2" s="1"/>
  <c r="CA133" i="2"/>
  <c r="CA54" i="2"/>
  <c r="CC54" i="2" s="1"/>
  <c r="CR54" i="2" s="1"/>
  <c r="CA131" i="2"/>
  <c r="CA68" i="2"/>
  <c r="CA122" i="2"/>
  <c r="CC122" i="2" s="1"/>
  <c r="CO122" i="2" s="1"/>
  <c r="CA166" i="2"/>
  <c r="CA134" i="2"/>
  <c r="CA160" i="2"/>
  <c r="CC160" i="2" s="1"/>
  <c r="CP160" i="2" s="1"/>
  <c r="CA113" i="2"/>
  <c r="CA181" i="2"/>
  <c r="CC181" i="2" s="1"/>
  <c r="CA9" i="2"/>
  <c r="CA107" i="2"/>
  <c r="CA23" i="2"/>
  <c r="CA116" i="2"/>
  <c r="CA87" i="2"/>
  <c r="CC87" i="2" s="1"/>
  <c r="CQ87" i="2" s="1"/>
  <c r="CA163" i="2"/>
  <c r="CA140" i="2"/>
  <c r="CC140" i="2" s="1"/>
  <c r="CR140" i="2" s="1"/>
  <c r="CA65" i="2"/>
  <c r="CA25" i="2"/>
  <c r="CA120" i="2"/>
  <c r="CA48" i="2"/>
  <c r="CC48" i="2" s="1"/>
  <c r="CA35" i="2"/>
  <c r="CA38" i="2"/>
  <c r="CC38" i="2" s="1"/>
  <c r="CP38" i="2" s="1"/>
  <c r="CA124" i="2"/>
  <c r="CA8" i="2"/>
  <c r="CC8" i="2" s="1"/>
  <c r="CA61" i="2"/>
  <c r="CA129" i="2"/>
  <c r="CC129" i="2" s="1"/>
  <c r="CO129" i="2" s="1"/>
  <c r="CA171" i="2"/>
  <c r="CA82" i="2"/>
  <c r="CC82" i="2" s="1"/>
  <c r="CS82" i="2" s="1"/>
  <c r="CA15" i="2"/>
  <c r="CA175" i="2"/>
  <c r="CA115" i="2"/>
  <c r="CA108" i="2"/>
  <c r="CC108" i="2" s="1"/>
  <c r="CP108" i="2" s="1"/>
  <c r="CA51" i="2"/>
  <c r="CC51" i="2" s="1"/>
  <c r="CA150" i="2"/>
  <c r="CA60" i="2"/>
  <c r="CA167" i="2"/>
  <c r="CC167" i="2" s="1"/>
  <c r="CA20" i="2"/>
  <c r="CC20" i="2" s="1"/>
  <c r="CS20" i="2" s="1"/>
  <c r="CA53" i="2"/>
  <c r="CA94" i="2"/>
  <c r="CA17" i="2"/>
  <c r="CA158" i="2"/>
  <c r="CA105" i="2"/>
  <c r="CA34" i="2"/>
  <c r="CC34" i="2" s="1"/>
  <c r="CP34" i="2" s="1"/>
  <c r="CA146" i="2"/>
  <c r="CC146" i="2" s="1"/>
  <c r="CA144" i="2"/>
  <c r="CA86" i="2"/>
  <c r="CA19" i="2"/>
  <c r="CC19" i="2" s="1"/>
  <c r="CA127" i="2"/>
  <c r="CA83" i="2"/>
  <c r="CA59" i="2"/>
  <c r="CA96" i="2"/>
  <c r="CC96" i="2" s="1"/>
  <c r="CQ96" i="2" s="1"/>
  <c r="CA78" i="2"/>
  <c r="CA176" i="2"/>
  <c r="CA118" i="2"/>
  <c r="CA79" i="2"/>
  <c r="CC79" i="2" s="1"/>
  <c r="CS79" i="2" s="1"/>
  <c r="CA5" i="2"/>
  <c r="CA18" i="2"/>
  <c r="CA44" i="2"/>
  <c r="CA70" i="2"/>
  <c r="CA95" i="2"/>
  <c r="CC95" i="2" s="1"/>
  <c r="CA147" i="2"/>
  <c r="CA138" i="2"/>
  <c r="CC138" i="2" s="1"/>
  <c r="CA89" i="2"/>
  <c r="CA24" i="2"/>
  <c r="CA165" i="2"/>
  <c r="CC165" i="2" s="1"/>
  <c r="CA180" i="2"/>
  <c r="CC180" i="2" s="1"/>
  <c r="CP180" i="2" s="1"/>
  <c r="CA16" i="2"/>
  <c r="CA128" i="2"/>
  <c r="CA109" i="2"/>
  <c r="CC109" i="2" s="1"/>
  <c r="CA177" i="2"/>
  <c r="CC177" i="2" s="1"/>
  <c r="CO177" i="2" s="1"/>
  <c r="CA183" i="2"/>
  <c r="CA74" i="2"/>
  <c r="CC74" i="2" s="1"/>
  <c r="CS74" i="2" s="1"/>
  <c r="CA155" i="2"/>
  <c r="CC155" i="2" s="1"/>
  <c r="CO155" i="2" s="1"/>
  <c r="CA136" i="2"/>
  <c r="CC136" i="2" s="1"/>
  <c r="CQ136" i="2" s="1"/>
  <c r="CA141" i="2"/>
  <c r="CA10" i="2"/>
  <c r="CA21" i="2"/>
  <c r="CA64" i="2"/>
  <c r="CA71" i="2"/>
  <c r="CA43" i="2"/>
  <c r="CC43" i="2" s="1"/>
  <c r="CA73" i="2"/>
  <c r="CC73" i="2" s="1"/>
  <c r="CS73" i="2" s="1"/>
  <c r="BX61" i="2" l="1"/>
  <c r="BY61" i="2" s="1"/>
  <c r="BX28" i="2"/>
  <c r="BY28" i="2" s="1"/>
  <c r="BX40" i="2"/>
  <c r="BY40" i="2" s="1"/>
  <c r="CP74" i="2"/>
  <c r="CQ34" i="2"/>
  <c r="CR80" i="2"/>
  <c r="CO91" i="2"/>
  <c r="CQ122" i="2"/>
  <c r="CS114" i="2"/>
  <c r="CO80" i="2"/>
  <c r="CO41" i="2"/>
  <c r="CR33" i="2"/>
  <c r="CQ140" i="2"/>
  <c r="CR100" i="2"/>
  <c r="CQ80" i="2"/>
  <c r="CQ42" i="2"/>
  <c r="CQ178" i="2"/>
  <c r="CP137" i="2"/>
  <c r="CR148" i="2"/>
  <c r="CQ19" i="2"/>
  <c r="CS108" i="2"/>
  <c r="CQ114" i="2"/>
  <c r="CS137" i="2"/>
  <c r="CP129" i="2"/>
  <c r="CS140" i="2"/>
  <c r="CR91" i="2"/>
  <c r="CS95" i="2"/>
  <c r="CO95" i="2"/>
  <c r="CO181" i="2"/>
  <c r="CR181" i="2"/>
  <c r="CQ43" i="2"/>
  <c r="CR43" i="2"/>
  <c r="CP43" i="2"/>
  <c r="CC166" i="2"/>
  <c r="CR166" i="2" s="1"/>
  <c r="CC64" i="2"/>
  <c r="CR64" i="2" s="1"/>
  <c r="CQ180" i="2"/>
  <c r="CR180" i="2"/>
  <c r="CS129" i="2"/>
  <c r="CC120" i="2"/>
  <c r="CP120" i="2" s="1"/>
  <c r="CP77" i="2"/>
  <c r="CO77" i="2"/>
  <c r="CS77" i="2"/>
  <c r="CC130" i="2"/>
  <c r="CR130" i="2" s="1"/>
  <c r="CQ74" i="2"/>
  <c r="CQ109" i="2"/>
  <c r="CC128" i="2"/>
  <c r="CQ128" i="2" s="1"/>
  <c r="CO180" i="2"/>
  <c r="CP165" i="2"/>
  <c r="CR96" i="2"/>
  <c r="CC94" i="2"/>
  <c r="CQ94" i="2" s="1"/>
  <c r="CO20" i="2"/>
  <c r="CO108" i="2"/>
  <c r="CS48" i="2"/>
  <c r="CS181" i="2"/>
  <c r="CP54" i="2"/>
  <c r="CP159" i="2"/>
  <c r="CC110" i="2"/>
  <c r="CC69" i="2"/>
  <c r="CR69" i="2" s="1"/>
  <c r="CC62" i="2"/>
  <c r="CO62" i="2" s="1"/>
  <c r="CC10" i="2"/>
  <c r="CS10" i="2" s="1"/>
  <c r="CQ95" i="2"/>
  <c r="CC18" i="2"/>
  <c r="CS18" i="2" s="1"/>
  <c r="CS54" i="2"/>
  <c r="CS180" i="2"/>
  <c r="CP95" i="2"/>
  <c r="CC44" i="2"/>
  <c r="CQ44" i="2" s="1"/>
  <c r="CP19" i="2"/>
  <c r="CO146" i="2"/>
  <c r="CC60" i="2"/>
  <c r="CP60" i="2" s="1"/>
  <c r="CR108" i="2"/>
  <c r="CC175" i="2"/>
  <c r="CS175" i="2" s="1"/>
  <c r="CQ129" i="2"/>
  <c r="CP8" i="2"/>
  <c r="CO48" i="2"/>
  <c r="CP181" i="2"/>
  <c r="CQ181" i="2"/>
  <c r="CO54" i="2"/>
  <c r="CC133" i="2"/>
  <c r="CR133" i="2" s="1"/>
  <c r="CP153" i="2"/>
  <c r="CC55" i="2"/>
  <c r="CO55" i="2" s="1"/>
  <c r="CC11" i="2"/>
  <c r="CR11" i="2" s="1"/>
  <c r="CC32" i="2"/>
  <c r="CQ32" i="2" s="1"/>
  <c r="CC97" i="2"/>
  <c r="CS97" i="2" s="1"/>
  <c r="CC45" i="2"/>
  <c r="CQ45" i="2" s="1"/>
  <c r="CO36" i="2"/>
  <c r="CR36" i="2"/>
  <c r="CC149" i="2"/>
  <c r="CS149" i="2" s="1"/>
  <c r="CC102" i="2"/>
  <c r="CQ102" i="2" s="1"/>
  <c r="CS42" i="2"/>
  <c r="CR42" i="2"/>
  <c r="CQ33" i="2"/>
  <c r="CP14" i="2"/>
  <c r="CP148" i="2"/>
  <c r="CP41" i="2"/>
  <c r="CP140" i="2"/>
  <c r="CS92" i="2"/>
  <c r="CC46" i="2"/>
  <c r="CS46" i="2" s="1"/>
  <c r="CC40" i="2"/>
  <c r="CO40" i="2" s="1"/>
  <c r="CO42" i="2"/>
  <c r="CO137" i="2"/>
  <c r="CR14" i="2"/>
  <c r="CQ14" i="2"/>
  <c r="CQ162" i="2"/>
  <c r="CS91" i="2"/>
  <c r="CR77" i="2"/>
  <c r="CC157" i="2"/>
  <c r="CS157" i="2" s="1"/>
  <c r="CO63" i="2"/>
  <c r="CR41" i="2"/>
  <c r="CO170" i="2"/>
  <c r="CC89" i="2"/>
  <c r="CO89" i="2" s="1"/>
  <c r="CP51" i="2"/>
  <c r="CO51" i="2"/>
  <c r="CP79" i="2"/>
  <c r="CR51" i="2"/>
  <c r="CC35" i="2"/>
  <c r="CS35" i="2" s="1"/>
  <c r="CO73" i="2"/>
  <c r="CQ73" i="2"/>
  <c r="CP73" i="2"/>
  <c r="CR73" i="2"/>
  <c r="CO43" i="2"/>
  <c r="CC71" i="2"/>
  <c r="CO71" i="2" s="1"/>
  <c r="CC141" i="2"/>
  <c r="CQ141" i="2" s="1"/>
  <c r="CR136" i="2"/>
  <c r="CP155" i="2"/>
  <c r="CR155" i="2"/>
  <c r="CS155" i="2"/>
  <c r="CQ155" i="2"/>
  <c r="CO74" i="2"/>
  <c r="CC183" i="2"/>
  <c r="CP183" i="2" s="1"/>
  <c r="CS138" i="2"/>
  <c r="CS19" i="2"/>
  <c r="CR19" i="2"/>
  <c r="CC53" i="2"/>
  <c r="CQ53" i="2" s="1"/>
  <c r="CQ20" i="2"/>
  <c r="CP20" i="2"/>
  <c r="CC150" i="2"/>
  <c r="CQ150" i="2" s="1"/>
  <c r="CS51" i="2"/>
  <c r="CR82" i="2"/>
  <c r="CR8" i="2"/>
  <c r="CO8" i="2"/>
  <c r="CC68" i="2"/>
  <c r="CS68" i="2" s="1"/>
  <c r="CP177" i="2"/>
  <c r="CS177" i="2"/>
  <c r="CQ138" i="2"/>
  <c r="CP138" i="2"/>
  <c r="CO138" i="2"/>
  <c r="CP136" i="2"/>
  <c r="CC105" i="2"/>
  <c r="CO105" i="2" s="1"/>
  <c r="CS136" i="2"/>
  <c r="CQ177" i="2"/>
  <c r="CC16" i="2"/>
  <c r="CR16" i="2" s="1"/>
  <c r="CR138" i="2"/>
  <c r="CC70" i="2"/>
  <c r="CR70" i="2" s="1"/>
  <c r="CC118" i="2"/>
  <c r="CS118" i="2" s="1"/>
  <c r="CS96" i="2"/>
  <c r="CP96" i="2"/>
  <c r="CC86" i="2"/>
  <c r="CS86" i="2" s="1"/>
  <c r="CS34" i="2"/>
  <c r="CR34" i="2"/>
  <c r="CQ167" i="2"/>
  <c r="CC61" i="2"/>
  <c r="CR61" i="2" s="1"/>
  <c r="CS8" i="2"/>
  <c r="CS38" i="2"/>
  <c r="CQ48" i="2"/>
  <c r="CR48" i="2"/>
  <c r="CC65" i="2"/>
  <c r="CQ65" i="2" s="1"/>
  <c r="CC15" i="2"/>
  <c r="CQ15" i="2" s="1"/>
  <c r="CS87" i="2"/>
  <c r="CP87" i="2"/>
  <c r="CO79" i="2"/>
  <c r="CR79" i="2"/>
  <c r="CO82" i="2"/>
  <c r="CP82" i="2"/>
  <c r="CQ38" i="2"/>
  <c r="CO38" i="2"/>
  <c r="CR38" i="2"/>
  <c r="CO136" i="2"/>
  <c r="CR177" i="2"/>
  <c r="CC59" i="2"/>
  <c r="CQ59" i="2" s="1"/>
  <c r="CQ126" i="2"/>
  <c r="CC139" i="2"/>
  <c r="CP139" i="2" s="1"/>
  <c r="CO103" i="2"/>
  <c r="CP103" i="2"/>
  <c r="CO172" i="2"/>
  <c r="CP172" i="2"/>
  <c r="CP151" i="2"/>
  <c r="CQ151" i="2"/>
  <c r="CS151" i="2"/>
  <c r="CC84" i="2"/>
  <c r="CS84" i="2" s="1"/>
  <c r="CQ57" i="2"/>
  <c r="CR57" i="2"/>
  <c r="CC50" i="2"/>
  <c r="CP50" i="2" s="1"/>
  <c r="CS145" i="2"/>
  <c r="CR145" i="2"/>
  <c r="CP145" i="2"/>
  <c r="CO37" i="2"/>
  <c r="CP37" i="2"/>
  <c r="CP101" i="2"/>
  <c r="CR101" i="2"/>
  <c r="CQ101" i="2"/>
  <c r="CO101" i="2"/>
  <c r="CS43" i="2"/>
  <c r="CR74" i="2"/>
  <c r="CR109" i="2"/>
  <c r="CO109" i="2"/>
  <c r="CR165" i="2"/>
  <c r="CQ165" i="2"/>
  <c r="CR95" i="2"/>
  <c r="CQ79" i="2"/>
  <c r="CC176" i="2"/>
  <c r="CO176" i="2" s="1"/>
  <c r="CO96" i="2"/>
  <c r="CC83" i="2"/>
  <c r="CP83" i="2" s="1"/>
  <c r="CO19" i="2"/>
  <c r="CC144" i="2"/>
  <c r="CS144" i="2" s="1"/>
  <c r="CS146" i="2"/>
  <c r="CR146" i="2"/>
  <c r="CO34" i="2"/>
  <c r="CC158" i="2"/>
  <c r="CS158" i="2" s="1"/>
  <c r="CR20" i="2"/>
  <c r="CP167" i="2"/>
  <c r="CR167" i="2"/>
  <c r="CQ51" i="2"/>
  <c r="CC5" i="2"/>
  <c r="CP5" i="2" s="1"/>
  <c r="CQ108" i="2"/>
  <c r="CQ82" i="2"/>
  <c r="CQ8" i="2"/>
  <c r="CC124" i="2"/>
  <c r="CO124" i="2" s="1"/>
  <c r="CP48" i="2"/>
  <c r="CO140" i="2"/>
  <c r="CO87" i="2"/>
  <c r="CR87" i="2"/>
  <c r="CC9" i="2"/>
  <c r="CQ9" i="2" s="1"/>
  <c r="CR160" i="2"/>
  <c r="CR122" i="2"/>
  <c r="CC131" i="2"/>
  <c r="CQ131" i="2" s="1"/>
  <c r="CS159" i="2"/>
  <c r="CO159" i="2"/>
  <c r="CP114" i="2"/>
  <c r="CC47" i="2"/>
  <c r="CR47" i="2" s="1"/>
  <c r="CQ100" i="2"/>
  <c r="CS13" i="2"/>
  <c r="CO13" i="2"/>
  <c r="CQ13" i="2"/>
  <c r="CP13" i="2"/>
  <c r="CR126" i="2"/>
  <c r="CC81" i="2"/>
  <c r="CO81" i="2" s="1"/>
  <c r="CC75" i="2"/>
  <c r="CQ75" i="2" s="1"/>
  <c r="CC117" i="2"/>
  <c r="CO117" i="2" s="1"/>
  <c r="CP30" i="2"/>
  <c r="CR30" i="2"/>
  <c r="CQ30" i="2"/>
  <c r="CC169" i="2"/>
  <c r="CQ169" i="2" s="1"/>
  <c r="CO151" i="2"/>
  <c r="CO57" i="2"/>
  <c r="CC179" i="2"/>
  <c r="CR179" i="2" s="1"/>
  <c r="CS37" i="2"/>
  <c r="CC147" i="2"/>
  <c r="CP147" i="2" s="1"/>
  <c r="CQ146" i="2"/>
  <c r="CS167" i="2"/>
  <c r="CC115" i="2"/>
  <c r="CR115" i="2" s="1"/>
  <c r="CC171" i="2"/>
  <c r="CS171" i="2" s="1"/>
  <c r="CR129" i="2"/>
  <c r="CC107" i="2"/>
  <c r="CR107" i="2" s="1"/>
  <c r="CS160" i="2"/>
  <c r="CQ160" i="2"/>
  <c r="CR159" i="2"/>
  <c r="CS100" i="2"/>
  <c r="CS126" i="2"/>
  <c r="CR103" i="2"/>
  <c r="CC168" i="2"/>
  <c r="CO168" i="2" s="1"/>
  <c r="CP63" i="2"/>
  <c r="CR63" i="2"/>
  <c r="CS172" i="2"/>
  <c r="CC156" i="2"/>
  <c r="CQ156" i="2" s="1"/>
  <c r="CO145" i="2"/>
  <c r="CS76" i="2"/>
  <c r="CQ76" i="2"/>
  <c r="CQ85" i="2"/>
  <c r="CR85" i="2"/>
  <c r="CO85" i="2"/>
  <c r="CC52" i="2"/>
  <c r="CP52" i="2" s="1"/>
  <c r="CP109" i="2"/>
  <c r="CO165" i="2"/>
  <c r="CS109" i="2"/>
  <c r="CS165" i="2"/>
  <c r="CC78" i="2"/>
  <c r="CO78" i="2" s="1"/>
  <c r="CC127" i="2"/>
  <c r="CR127" i="2" s="1"/>
  <c r="CP146" i="2"/>
  <c r="CC17" i="2"/>
  <c r="CR17" i="2" s="1"/>
  <c r="CO167" i="2"/>
  <c r="CC116" i="2"/>
  <c r="CQ116" i="2" s="1"/>
  <c r="CO160" i="2"/>
  <c r="CC134" i="2"/>
  <c r="CO134" i="2" s="1"/>
  <c r="CP122" i="2"/>
  <c r="CS122" i="2"/>
  <c r="CQ54" i="2"/>
  <c r="CQ159" i="2"/>
  <c r="CO153" i="2"/>
  <c r="CS153" i="2"/>
  <c r="CR153" i="2"/>
  <c r="CO114" i="2"/>
  <c r="CR13" i="2"/>
  <c r="CQ103" i="2"/>
  <c r="CC142" i="2"/>
  <c r="CP142" i="2" s="1"/>
  <c r="CS30" i="2"/>
  <c r="CQ172" i="2"/>
  <c r="CR151" i="2"/>
  <c r="CS57" i="2"/>
  <c r="CP67" i="2"/>
  <c r="CS67" i="2"/>
  <c r="CQ67" i="2"/>
  <c r="CO67" i="2"/>
  <c r="CR67" i="2"/>
  <c r="CQ145" i="2"/>
  <c r="CR37" i="2"/>
  <c r="CR119" i="2"/>
  <c r="CO100" i="2"/>
  <c r="CP126" i="2"/>
  <c r="CS80" i="2"/>
  <c r="CS103" i="2"/>
  <c r="CS63" i="2"/>
  <c r="CO92" i="2"/>
  <c r="CQ92" i="2"/>
  <c r="CC6" i="2"/>
  <c r="CC106" i="2"/>
  <c r="CS174" i="2"/>
  <c r="CQ174" i="2"/>
  <c r="CR172" i="2"/>
  <c r="CC66" i="2"/>
  <c r="CO66" i="2" s="1"/>
  <c r="CP57" i="2"/>
  <c r="CC112" i="2"/>
  <c r="CC104" i="2"/>
  <c r="CO104" i="2" s="1"/>
  <c r="CC123" i="2"/>
  <c r="CP123" i="2" s="1"/>
  <c r="CQ37" i="2"/>
  <c r="CC99" i="2"/>
  <c r="CO99" i="2" s="1"/>
  <c r="CP33" i="2"/>
  <c r="CS178" i="2"/>
  <c r="CR178" i="2"/>
  <c r="CO178" i="2"/>
  <c r="CP178" i="2"/>
  <c r="CC132" i="2"/>
  <c r="CO132" i="2" s="1"/>
  <c r="CC125" i="2"/>
  <c r="CQ125" i="2" s="1"/>
  <c r="CS36" i="2"/>
  <c r="CC31" i="2"/>
  <c r="CP76" i="2"/>
  <c r="CR121" i="2"/>
  <c r="CP121" i="2"/>
  <c r="CQ121" i="2"/>
  <c r="CS121" i="2"/>
  <c r="CS148" i="2"/>
  <c r="CC12" i="2"/>
  <c r="CS12" i="2" s="1"/>
  <c r="CC90" i="2"/>
  <c r="CP90" i="2" s="1"/>
  <c r="CC164" i="2"/>
  <c r="CP92" i="2"/>
  <c r="CC29" i="2"/>
  <c r="CO29" i="2" s="1"/>
  <c r="CO174" i="2"/>
  <c r="CC93" i="2"/>
  <c r="CR93" i="2" s="1"/>
  <c r="CC56" i="2"/>
  <c r="CQ56" i="2" s="1"/>
  <c r="CC7" i="2"/>
  <c r="CS7" i="2" s="1"/>
  <c r="CC28" i="2"/>
  <c r="CR28" i="2" s="1"/>
  <c r="CR92" i="2"/>
  <c r="CP174" i="2"/>
  <c r="CC49" i="2"/>
  <c r="CO49" i="2" s="1"/>
  <c r="CR162" i="2"/>
  <c r="CP162" i="2"/>
  <c r="CO162" i="2"/>
  <c r="CS162" i="2"/>
  <c r="CC152" i="2"/>
  <c r="CR152" i="2" s="1"/>
  <c r="CP135" i="2"/>
  <c r="CS135" i="2"/>
  <c r="CQ135" i="2"/>
  <c r="CO135" i="2"/>
  <c r="CP85" i="2"/>
  <c r="CO119" i="2"/>
  <c r="CQ119" i="2"/>
  <c r="CS119" i="2"/>
  <c r="CP119" i="2"/>
  <c r="CC182" i="2"/>
  <c r="CO182" i="2" s="1"/>
  <c r="CC58" i="2"/>
  <c r="CR58" i="2" s="1"/>
  <c r="CS33" i="2"/>
  <c r="CR137" i="2"/>
  <c r="CO14" i="2"/>
  <c r="CQ36" i="2"/>
  <c r="CO76" i="2"/>
  <c r="CO148" i="2"/>
  <c r="CC39" i="2"/>
  <c r="CC143" i="2"/>
  <c r="CP143" i="2" s="1"/>
  <c r="CQ91" i="2"/>
  <c r="CQ77" i="2"/>
  <c r="CS85" i="2"/>
  <c r="CC98" i="2"/>
  <c r="CQ98" i="2" s="1"/>
  <c r="CS41" i="2"/>
  <c r="CC154" i="2"/>
  <c r="CS154" i="2" s="1"/>
  <c r="CS101" i="2"/>
  <c r="CC173" i="2"/>
  <c r="CQ173" i="2" s="1"/>
  <c r="CR170" i="2"/>
  <c r="CS170" i="2"/>
  <c r="CQ170" i="2"/>
  <c r="CP170" i="2"/>
  <c r="CO120" i="2" l="1"/>
  <c r="CS120" i="2"/>
  <c r="CP102" i="2"/>
  <c r="CO11" i="2"/>
  <c r="CQ11" i="2"/>
  <c r="CQ5" i="2"/>
  <c r="CR62" i="2"/>
  <c r="CS40" i="2"/>
  <c r="CO130" i="2"/>
  <c r="CR139" i="2"/>
  <c r="CQ107" i="2"/>
  <c r="CQ55" i="2"/>
  <c r="CP45" i="2"/>
  <c r="CO45" i="2"/>
  <c r="CQ120" i="2"/>
  <c r="CO46" i="2"/>
  <c r="CS115" i="2"/>
  <c r="CO10" i="2"/>
  <c r="CS124" i="2"/>
  <c r="CR46" i="2"/>
  <c r="CP46" i="2"/>
  <c r="CQ97" i="2"/>
  <c r="CQ124" i="2"/>
  <c r="CR156" i="2"/>
  <c r="CS166" i="2"/>
  <c r="CS99" i="2"/>
  <c r="CO154" i="2"/>
  <c r="CP32" i="2"/>
  <c r="CR32" i="2"/>
  <c r="CS169" i="2"/>
  <c r="CR150" i="2"/>
  <c r="CR44" i="2"/>
  <c r="CO32" i="2"/>
  <c r="CS183" i="2"/>
  <c r="CQ133" i="2"/>
  <c r="CO183" i="2"/>
  <c r="CR141" i="2"/>
  <c r="CQ134" i="2"/>
  <c r="CS52" i="2"/>
  <c r="CS128" i="2"/>
  <c r="CP55" i="2"/>
  <c r="CQ84" i="2"/>
  <c r="CQ139" i="2"/>
  <c r="CS11" i="2"/>
  <c r="CR128" i="2"/>
  <c r="CQ123" i="2"/>
  <c r="CP58" i="2"/>
  <c r="CO53" i="2"/>
  <c r="CO97" i="2"/>
  <c r="CS90" i="2"/>
  <c r="CR65" i="2"/>
  <c r="CP35" i="2"/>
  <c r="CQ64" i="2"/>
  <c r="CP64" i="2"/>
  <c r="CO123" i="2"/>
  <c r="CQ90" i="2"/>
  <c r="CP11" i="2"/>
  <c r="CO147" i="2"/>
  <c r="CS69" i="2"/>
  <c r="CS102" i="2"/>
  <c r="CO64" i="2"/>
  <c r="CS56" i="2"/>
  <c r="CO149" i="2"/>
  <c r="CS142" i="2"/>
  <c r="CR45" i="2"/>
  <c r="CR75" i="2"/>
  <c r="CP131" i="2"/>
  <c r="CS139" i="2"/>
  <c r="CO50" i="2"/>
  <c r="CO86" i="2"/>
  <c r="CS16" i="2"/>
  <c r="CO35" i="2"/>
  <c r="CR102" i="2"/>
  <c r="CO44" i="2"/>
  <c r="CQ7" i="2"/>
  <c r="CS58" i="2"/>
  <c r="CS130" i="2"/>
  <c r="CS125" i="2"/>
  <c r="CQ69" i="2"/>
  <c r="CQ81" i="2"/>
  <c r="CP133" i="2"/>
  <c r="CR116" i="2"/>
  <c r="CQ18" i="2"/>
  <c r="CR81" i="2"/>
  <c r="CO47" i="2"/>
  <c r="CO133" i="2"/>
  <c r="CR15" i="2"/>
  <c r="CO65" i="2"/>
  <c r="CO118" i="2"/>
  <c r="CS44" i="2"/>
  <c r="CP16" i="2"/>
  <c r="CS105" i="2"/>
  <c r="CS150" i="2"/>
  <c r="CS62" i="2"/>
  <c r="CP130" i="2"/>
  <c r="CS28" i="2"/>
  <c r="CS133" i="2"/>
  <c r="CQ130" i="2"/>
  <c r="CR154" i="2"/>
  <c r="CR7" i="2"/>
  <c r="CP7" i="2"/>
  <c r="CP56" i="2"/>
  <c r="CP12" i="2"/>
  <c r="CR125" i="2"/>
  <c r="CO52" i="2"/>
  <c r="CS156" i="2"/>
  <c r="CR40" i="2"/>
  <c r="CP81" i="2"/>
  <c r="CP47" i="2"/>
  <c r="CQ50" i="2"/>
  <c r="CP84" i="2"/>
  <c r="CS15" i="2"/>
  <c r="CP61" i="2"/>
  <c r="CQ118" i="2"/>
  <c r="CO16" i="2"/>
  <c r="CQ105" i="2"/>
  <c r="CP150" i="2"/>
  <c r="CS45" i="2"/>
  <c r="CS64" i="2"/>
  <c r="CO7" i="2"/>
  <c r="CP49" i="2"/>
  <c r="CP69" i="2"/>
  <c r="CS47" i="2"/>
  <c r="CO9" i="2"/>
  <c r="CO69" i="2"/>
  <c r="CP40" i="2"/>
  <c r="CQ47" i="2"/>
  <c r="CS9" i="2"/>
  <c r="CP15" i="2"/>
  <c r="CP44" i="2"/>
  <c r="CQ16" i="2"/>
  <c r="CP71" i="2"/>
  <c r="CS94" i="2"/>
  <c r="CR60" i="2"/>
  <c r="CP99" i="2"/>
  <c r="CQ149" i="2"/>
  <c r="CS32" i="2"/>
  <c r="CQ70" i="2"/>
  <c r="CS53" i="2"/>
  <c r="CQ157" i="2"/>
  <c r="CR157" i="2"/>
  <c r="CP157" i="2"/>
  <c r="CR120" i="2"/>
  <c r="CR149" i="2"/>
  <c r="CQ104" i="2"/>
  <c r="CO58" i="2"/>
  <c r="CP28" i="2"/>
  <c r="CQ40" i="2"/>
  <c r="CP62" i="2"/>
  <c r="CP18" i="2"/>
  <c r="CR52" i="2"/>
  <c r="CO156" i="2"/>
  <c r="CQ62" i="2"/>
  <c r="CR50" i="2"/>
  <c r="CO84" i="2"/>
  <c r="CP169" i="2"/>
  <c r="CS107" i="2"/>
  <c r="CR18" i="2"/>
  <c r="CS50" i="2"/>
  <c r="CR84" i="2"/>
  <c r="CO139" i="2"/>
  <c r="CO59" i="2"/>
  <c r="CS61" i="2"/>
  <c r="CO61" i="2"/>
  <c r="CQ86" i="2"/>
  <c r="CR118" i="2"/>
  <c r="CO70" i="2"/>
  <c r="CP53" i="2"/>
  <c r="CR10" i="2"/>
  <c r="CP97" i="2"/>
  <c r="CQ175" i="2"/>
  <c r="CO175" i="2"/>
  <c r="CO94" i="2"/>
  <c r="CP166" i="2"/>
  <c r="CP94" i="2"/>
  <c r="CO128" i="2"/>
  <c r="CP128" i="2"/>
  <c r="CQ60" i="2"/>
  <c r="CR55" i="2"/>
  <c r="CS55" i="2"/>
  <c r="CR110" i="2"/>
  <c r="CO110" i="2"/>
  <c r="CP10" i="2"/>
  <c r="CO169" i="2"/>
  <c r="CR53" i="2"/>
  <c r="CP86" i="2"/>
  <c r="CP149" i="2"/>
  <c r="CS60" i="2"/>
  <c r="CP110" i="2"/>
  <c r="CQ10" i="2"/>
  <c r="CQ182" i="2"/>
  <c r="CR99" i="2"/>
  <c r="CS110" i="2"/>
  <c r="CR142" i="2"/>
  <c r="CQ110" i="2"/>
  <c r="CQ52" i="2"/>
  <c r="CP156" i="2"/>
  <c r="CP107" i="2"/>
  <c r="CR169" i="2"/>
  <c r="CQ166" i="2"/>
  <c r="CO18" i="2"/>
  <c r="CS65" i="2"/>
  <c r="CQ61" i="2"/>
  <c r="CR86" i="2"/>
  <c r="CS70" i="2"/>
  <c r="CO157" i="2"/>
  <c r="CQ46" i="2"/>
  <c r="CO102" i="2"/>
  <c r="CR97" i="2"/>
  <c r="CR94" i="2"/>
  <c r="CR175" i="2"/>
  <c r="CO60" i="2"/>
  <c r="CP175" i="2"/>
  <c r="CO166" i="2"/>
  <c r="CO164" i="2"/>
  <c r="CP164" i="2"/>
  <c r="CP31" i="2"/>
  <c r="CS31" i="2"/>
  <c r="CS29" i="2"/>
  <c r="CP93" i="2"/>
  <c r="CS66" i="2"/>
  <c r="CP106" i="2"/>
  <c r="CO106" i="2"/>
  <c r="CQ106" i="2"/>
  <c r="CS106" i="2"/>
  <c r="CO173" i="2"/>
  <c r="CR173" i="2"/>
  <c r="CR182" i="2"/>
  <c r="CP152" i="2"/>
  <c r="CS143" i="2"/>
  <c r="CO143" i="2"/>
  <c r="CR143" i="2"/>
  <c r="CQ143" i="2"/>
  <c r="CS182" i="2"/>
  <c r="CS152" i="2"/>
  <c r="CQ66" i="2"/>
  <c r="CR56" i="2"/>
  <c r="CO56" i="2"/>
  <c r="CQ58" i="2"/>
  <c r="CP104" i="2"/>
  <c r="CQ164" i="2"/>
  <c r="CQ31" i="2"/>
  <c r="CS123" i="2"/>
  <c r="CP29" i="2"/>
  <c r="CS49" i="2"/>
  <c r="CO142" i="2"/>
  <c r="CQ168" i="2"/>
  <c r="CP134" i="2"/>
  <c r="CR134" i="2"/>
  <c r="CS134" i="2"/>
  <c r="CO171" i="2"/>
  <c r="CS78" i="2"/>
  <c r="CQ99" i="2"/>
  <c r="CP168" i="2"/>
  <c r="CR168" i="2"/>
  <c r="CS116" i="2"/>
  <c r="CQ17" i="2"/>
  <c r="CS179" i="2"/>
  <c r="CS93" i="2"/>
  <c r="CS117" i="2"/>
  <c r="CQ117" i="2"/>
  <c r="CP75" i="2"/>
  <c r="CS81" i="2"/>
  <c r="CR9" i="2"/>
  <c r="CP9" i="2"/>
  <c r="CP124" i="2"/>
  <c r="CR5" i="2"/>
  <c r="CO5" i="2"/>
  <c r="CS147" i="2"/>
  <c r="CP59" i="2"/>
  <c r="CS59" i="2"/>
  <c r="CO15" i="2"/>
  <c r="CP65" i="2"/>
  <c r="CP118" i="2"/>
  <c r="CP70" i="2"/>
  <c r="CR105" i="2"/>
  <c r="CO150" i="2"/>
  <c r="CO17" i="2"/>
  <c r="CQ183" i="2"/>
  <c r="CO68" i="2"/>
  <c r="CR35" i="2"/>
  <c r="CO115" i="2"/>
  <c r="CR89" i="2"/>
  <c r="CP89" i="2"/>
  <c r="CP154" i="2"/>
  <c r="CQ29" i="2"/>
  <c r="CQ28" i="2"/>
  <c r="CP115" i="2"/>
  <c r="CP17" i="2"/>
  <c r="CO127" i="2"/>
  <c r="CP78" i="2"/>
  <c r="CQ147" i="2"/>
  <c r="CR124" i="2"/>
  <c r="CS5" i="2"/>
  <c r="CR147" i="2"/>
  <c r="CP68" i="2"/>
  <c r="CQ35" i="2"/>
  <c r="CR59" i="2"/>
  <c r="CP98" i="2"/>
  <c r="CO98" i="2"/>
  <c r="CS98" i="2"/>
  <c r="CR98" i="2"/>
  <c r="CS164" i="2"/>
  <c r="CO31" i="2"/>
  <c r="CS168" i="2"/>
  <c r="CQ127" i="2"/>
  <c r="CO179" i="2"/>
  <c r="CP117" i="2"/>
  <c r="CO75" i="2"/>
  <c r="CO131" i="2"/>
  <c r="CS131" i="2"/>
  <c r="CP171" i="2"/>
  <c r="CQ115" i="2"/>
  <c r="CS17" i="2"/>
  <c r="CP127" i="2"/>
  <c r="CR78" i="2"/>
  <c r="CO107" i="2"/>
  <c r="CP141" i="2"/>
  <c r="CO141" i="2"/>
  <c r="CS71" i="2"/>
  <c r="CR71" i="2"/>
  <c r="CQ68" i="2"/>
  <c r="CR68" i="2"/>
  <c r="CQ89" i="2"/>
  <c r="CQ39" i="2"/>
  <c r="CR39" i="2"/>
  <c r="CS39" i="2"/>
  <c r="CO39" i="2"/>
  <c r="CP132" i="2"/>
  <c r="CR132" i="2"/>
  <c r="CS112" i="2"/>
  <c r="CP112" i="2"/>
  <c r="CO112" i="2"/>
  <c r="CR112" i="2"/>
  <c r="CP6" i="2"/>
  <c r="CS6" i="2"/>
  <c r="CO6" i="2"/>
  <c r="CQ6" i="2"/>
  <c r="CO152" i="2"/>
  <c r="CP173" i="2"/>
  <c r="CQ12" i="2"/>
  <c r="CO12" i="2"/>
  <c r="CQ132" i="2"/>
  <c r="CQ49" i="2"/>
  <c r="CP182" i="2"/>
  <c r="CS173" i="2"/>
  <c r="CQ154" i="2"/>
  <c r="CO93" i="2"/>
  <c r="CR66" i="2"/>
  <c r="CR164" i="2"/>
  <c r="CR90" i="2"/>
  <c r="CO90" i="2"/>
  <c r="CP39" i="2"/>
  <c r="CR12" i="2"/>
  <c r="CR31" i="2"/>
  <c r="CO125" i="2"/>
  <c r="CP125" i="2"/>
  <c r="CS132" i="2"/>
  <c r="CS104" i="2"/>
  <c r="CR49" i="2"/>
  <c r="CQ93" i="2"/>
  <c r="CR29" i="2"/>
  <c r="CO28" i="2"/>
  <c r="CR104" i="2"/>
  <c r="CQ142" i="2"/>
  <c r="CR6" i="2"/>
  <c r="CQ112" i="2"/>
  <c r="CP66" i="2"/>
  <c r="CO116" i="2"/>
  <c r="CQ179" i="2"/>
  <c r="CP179" i="2"/>
  <c r="CR106" i="2"/>
  <c r="CR117" i="2"/>
  <c r="CS75" i="2"/>
  <c r="CR131" i="2"/>
  <c r="CR171" i="2"/>
  <c r="CO158" i="2"/>
  <c r="CR158" i="2"/>
  <c r="CQ158" i="2"/>
  <c r="CP158" i="2"/>
  <c r="CR144" i="2"/>
  <c r="CQ144" i="2"/>
  <c r="CP144" i="2"/>
  <c r="CO144" i="2"/>
  <c r="CQ83" i="2"/>
  <c r="CO83" i="2"/>
  <c r="CS83" i="2"/>
  <c r="CR83" i="2"/>
  <c r="CQ176" i="2"/>
  <c r="CR176" i="2"/>
  <c r="CP176" i="2"/>
  <c r="CS176" i="2"/>
  <c r="CQ152" i="2"/>
  <c r="CR123" i="2"/>
  <c r="CP116" i="2"/>
  <c r="CP105" i="2"/>
  <c r="CS127" i="2"/>
  <c r="CR183" i="2"/>
  <c r="CS141" i="2"/>
  <c r="CQ71" i="2"/>
  <c r="CQ171" i="2"/>
  <c r="CS89" i="2"/>
  <c r="CQ78" i="2"/>
  <c r="S21" i="2" l="1"/>
  <c r="L21" i="2" s="1"/>
  <c r="H21" i="2" s="1"/>
  <c r="BV21" i="2" s="1"/>
  <c r="BX21" i="2" s="1"/>
  <c r="BY21" i="2" s="1"/>
  <c r="S24" i="2"/>
  <c r="L24" i="2" s="1"/>
  <c r="CB24" i="2" s="1"/>
  <c r="CC24" i="2" s="1"/>
  <c r="S23" i="2"/>
  <c r="L23" i="2" s="1"/>
  <c r="S22" i="2"/>
  <c r="L22" i="2" s="1"/>
  <c r="S27" i="2"/>
  <c r="L27" i="2" s="1"/>
  <c r="S25" i="2"/>
  <c r="L25" i="2" s="1"/>
  <c r="CB25" i="2" s="1"/>
  <c r="CC25" i="2" s="1"/>
  <c r="CB113" i="2" l="1"/>
  <c r="CC113" i="2" s="1"/>
  <c r="CQ113" i="2" s="1"/>
  <c r="CB72" i="2"/>
  <c r="CC72" i="2" s="1"/>
  <c r="CB27" i="2"/>
  <c r="CC27" i="2" s="1"/>
  <c r="CQ27" i="2" s="1"/>
  <c r="H27" i="2"/>
  <c r="BV27" i="2" s="1"/>
  <c r="BX27" i="2" s="1"/>
  <c r="BY27" i="2" s="1"/>
  <c r="H22" i="2"/>
  <c r="BV22" i="2" s="1"/>
  <c r="BX22" i="2" s="1"/>
  <c r="BY22" i="2" s="1"/>
  <c r="CB22" i="2"/>
  <c r="CC22" i="2" s="1"/>
  <c r="CO22" i="2" s="1"/>
  <c r="CB26" i="2"/>
  <c r="CC26" i="2" s="1"/>
  <c r="CP26" i="2" s="1"/>
  <c r="H23" i="2"/>
  <c r="BV23" i="2" s="1"/>
  <c r="BX23" i="2" s="1"/>
  <c r="BY23" i="2" s="1"/>
  <c r="CB23" i="2"/>
  <c r="CC23" i="2" s="1"/>
  <c r="CR24" i="2"/>
  <c r="CQ24" i="2"/>
  <c r="CS24" i="2"/>
  <c r="CP24" i="2"/>
  <c r="CO24" i="2"/>
  <c r="CO25" i="2"/>
  <c r="CS25" i="2"/>
  <c r="CR25" i="2"/>
  <c r="CP25" i="2"/>
  <c r="CQ25" i="2"/>
  <c r="H25" i="2"/>
  <c r="BV25" i="2" s="1"/>
  <c r="BX25" i="2" s="1"/>
  <c r="BY25" i="2" s="1"/>
  <c r="H24" i="2"/>
  <c r="BV24" i="2" s="1"/>
  <c r="BX24" i="2" s="1"/>
  <c r="BY24" i="2" s="1"/>
  <c r="CR113" i="2" l="1"/>
  <c r="CS113" i="2"/>
  <c r="CP113" i="2"/>
  <c r="CO113" i="2"/>
  <c r="CR72" i="2"/>
  <c r="CS72" i="2"/>
  <c r="CQ72" i="2"/>
  <c r="CP72" i="2"/>
  <c r="CO72" i="2"/>
  <c r="CS27" i="2"/>
  <c r="CR27" i="2"/>
  <c r="CP27" i="2"/>
  <c r="CO27" i="2"/>
  <c r="CS22" i="2"/>
  <c r="CR22" i="2"/>
  <c r="CP22" i="2"/>
  <c r="CQ22" i="2"/>
  <c r="CR26" i="2"/>
  <c r="CO26" i="2"/>
  <c r="CS26" i="2"/>
  <c r="CQ26" i="2"/>
  <c r="CQ23" i="2"/>
  <c r="CS23" i="2"/>
  <c r="CP23" i="2"/>
  <c r="CR23" i="2"/>
  <c r="CO23" i="2"/>
  <c r="S163" i="2"/>
  <c r="L163" i="2" s="1"/>
  <c r="CB161" i="2" l="1"/>
  <c r="CC161" i="2" s="1"/>
  <c r="CP161" i="2" s="1"/>
  <c r="CB163" i="2"/>
  <c r="CC163" i="2" s="1"/>
  <c r="H163" i="2"/>
  <c r="BV163" i="2" s="1"/>
  <c r="BX163" i="2" s="1"/>
  <c r="BY163" i="2" s="1"/>
  <c r="BY250" i="2" s="1"/>
  <c r="CB21" i="2"/>
  <c r="CC21" i="2" s="1"/>
  <c r="CQ21" i="2" s="1"/>
  <c r="CR161" i="2" l="1"/>
  <c r="CS161" i="2"/>
  <c r="CO161" i="2"/>
  <c r="CQ161" i="2"/>
  <c r="CB250" i="2"/>
  <c r="CB3" i="2" s="1"/>
  <c r="CR163" i="2"/>
  <c r="CP163" i="2"/>
  <c r="CO163" i="2"/>
  <c r="CS163" i="2"/>
  <c r="CQ163" i="2"/>
  <c r="CS21" i="2"/>
  <c r="CP21" i="2"/>
  <c r="CP250" i="2" s="1"/>
  <c r="CP3" i="2" s="1"/>
  <c r="CO21" i="2"/>
  <c r="CR21" i="2"/>
  <c r="CQ250" i="2" l="1"/>
  <c r="CQ3" i="2" s="1"/>
  <c r="CR250" i="2"/>
  <c r="CR3" i="2" s="1"/>
  <c r="CO250" i="2"/>
  <c r="CO3" i="2" s="1"/>
  <c r="CS250" i="2"/>
  <c r="C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87" authorId="0" shapeId="0" xr:uid="{4E48BE2E-38AB-44F5-871E-75CC8820602A}">
      <text>
        <r>
          <rPr>
            <b/>
            <sz val="9"/>
            <color indexed="81"/>
            <rFont val="Tahoma"/>
            <family val="2"/>
          </rPr>
          <t>Sjoerd Jaarsma:</t>
        </r>
        <r>
          <rPr>
            <sz val="9"/>
            <color indexed="81"/>
            <rFont val="Tahoma"/>
            <family val="2"/>
          </rPr>
          <t xml:space="preserve">
ouder gemaakt 2010
</t>
        </r>
      </text>
    </comment>
    <comment ref="I103"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<sst xmlns="http://schemas.openxmlformats.org/spreadsheetml/2006/main" count="2536" uniqueCount="792">
  <si>
    <t>locatie</t>
  </si>
  <si>
    <t>sep</t>
  </si>
  <si>
    <t>Tilburg</t>
  </si>
  <si>
    <t>okt</t>
  </si>
  <si>
    <t>Klundert</t>
  </si>
  <si>
    <t>nov</t>
  </si>
  <si>
    <t>Schiedam</t>
  </si>
  <si>
    <t>dec</t>
  </si>
  <si>
    <t>Eefde</t>
  </si>
  <si>
    <t>jan</t>
  </si>
  <si>
    <t>feb</t>
  </si>
  <si>
    <t>Utrecht</t>
  </si>
  <si>
    <t>mrt</t>
  </si>
  <si>
    <t>Best</t>
  </si>
  <si>
    <t>apr</t>
  </si>
  <si>
    <t>mei</t>
  </si>
  <si>
    <t xml:space="preserve">Baarn </t>
  </si>
  <si>
    <t>jun</t>
  </si>
  <si>
    <t xml:space="preserve">Lent </t>
  </si>
  <si>
    <t>JPT 1 - SEP</t>
  </si>
  <si>
    <t>JPT 4 - DEC</t>
  </si>
  <si>
    <t>JPT 7 - MRT</t>
  </si>
  <si>
    <t>JPT 10 - JUN</t>
  </si>
  <si>
    <t>STATISTIEKEN</t>
  </si>
  <si>
    <t>JPT 2 - OKT</t>
  </si>
  <si>
    <t>JPT 5 - JAN</t>
  </si>
  <si>
    <t>JPT 8 - APR</t>
  </si>
  <si>
    <t xml:space="preserve">DIPLOMA'S </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</si>
  <si>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</si>
  <si>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</si>
  <si>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</si>
  <si>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</si>
  <si>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</si>
  <si>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</si>
  <si>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</si>
  <si>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</si>
  <si>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</si>
  <si>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</si>
  <si>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</si>
  <si>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</si>
  <si>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</si>
  <si>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</si>
  <si>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</si>
  <si>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</si>
  <si>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</si>
  <si>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</si>
  <si>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</si>
  <si>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</si>
  <si>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</si>
  <si>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</si>
  <si>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elektrisch</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</si>
  <si>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</si>
  <si>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</si>
  <si>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</si>
  <si>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</si>
  <si>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</si>
  <si>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</si>
  <si>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</si>
  <si>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</si>
  <si>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</si>
  <si>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</si>
  <si>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</si>
  <si>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</si>
  <si>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</si>
  <si>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</si>
  <si>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</si>
  <si>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</si>
  <si>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</si>
  <si>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</si>
  <si>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</si>
  <si>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</si>
  <si>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</si>
  <si>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</si>
  <si>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</si>
  <si>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</si>
  <si>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</si>
  <si>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</si>
  <si>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</si>
  <si>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</si>
  <si>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</si>
  <si>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</si>
  <si>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</si>
  <si>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</si>
  <si>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</si>
  <si>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</si>
  <si>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</si>
  <si>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</si>
  <si>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</si>
  <si>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</si>
  <si>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</si>
  <si>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</si>
  <si>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</si>
  <si>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</si>
  <si>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</si>
  <si>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</si>
  <si>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GT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</si>
  <si>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</si>
  <si>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</si>
  <si>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</si>
  <si>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</si>
  <si>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</si>
  <si>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</si>
  <si>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</si>
  <si>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</si>
  <si>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</si>
  <si>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</si>
  <si>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</si>
  <si>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</si>
  <si>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</si>
  <si>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</si>
  <si>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</si>
  <si>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</si>
  <si>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</si>
  <si>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</si>
  <si>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</si>
  <si>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</si>
  <si>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</si>
  <si>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</si>
  <si>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</si>
  <si>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</si>
  <si>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</si>
  <si>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</si>
  <si>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</si>
  <si>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</si>
  <si>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</si>
  <si>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</si>
  <si>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</si>
  <si>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</si>
  <si>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</si>
  <si>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</si>
  <si>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</si>
  <si>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</si>
  <si>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</si>
  <si>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</si>
  <si>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</si>
  <si>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</si>
  <si>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x</t>
  </si>
  <si>
    <t>nog niet</t>
  </si>
  <si>
    <t>AANTJES Rens</t>
  </si>
  <si>
    <t>Fencing Ermelo</t>
  </si>
  <si>
    <t>FK</t>
  </si>
  <si>
    <t>AARTS Jente</t>
  </si>
  <si>
    <t>Beau Geste</t>
  </si>
  <si>
    <t>FG</t>
  </si>
  <si>
    <t>ADAMS Mike</t>
  </si>
  <si>
    <t>SG</t>
  </si>
  <si>
    <t>AFELTRA Alessio</t>
  </si>
  <si>
    <t>Vívás</t>
  </si>
  <si>
    <t>ALIJEV Daniël</t>
  </si>
  <si>
    <t>Surtout</t>
  </si>
  <si>
    <t>ANKER Jade</t>
  </si>
  <si>
    <t>Trefpunt Vlaardingen</t>
  </si>
  <si>
    <t>ANKER Mees</t>
  </si>
  <si>
    <t>DK</t>
  </si>
  <si>
    <t>APENHORST Feije</t>
  </si>
  <si>
    <t>Twentse sv Agilité</t>
  </si>
  <si>
    <t>ARSLAN Alp</t>
  </si>
  <si>
    <t>ARSLAN Selin</t>
  </si>
  <si>
    <t>BENJAMINS Storm</t>
  </si>
  <si>
    <t>Porthos</t>
  </si>
  <si>
    <t>BERKERS Jasper</t>
  </si>
  <si>
    <t>La Prime</t>
  </si>
  <si>
    <t>BODDEUS Lasse</t>
  </si>
  <si>
    <t>SC Midden Nederland</t>
  </si>
  <si>
    <t>BOECKHORST Sam</t>
  </si>
  <si>
    <t>3 Musketiers</t>
  </si>
  <si>
    <t>BOINK Jefta</t>
  </si>
  <si>
    <t>En garde</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</si>
  <si>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</si>
  <si>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</si>
  <si>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</si>
  <si>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</si>
  <si>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</si>
  <si>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</si>
  <si>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</si>
  <si>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</si>
  <si>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</si>
  <si>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</si>
  <si>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</si>
  <si>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</si>
  <si>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</si>
  <si>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</si>
  <si>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</si>
  <si>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</si>
  <si>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</si>
  <si>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</si>
  <si>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</si>
  <si>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</si>
  <si>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</si>
  <si>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</si>
  <si>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</si>
  <si>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</si>
  <si>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</si>
  <si>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</si>
  <si>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</si>
  <si>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</si>
  <si>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</si>
  <si>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</si>
  <si>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</si>
  <si>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</si>
  <si>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</si>
  <si>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</si>
  <si>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</si>
  <si>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</si>
  <si>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</si>
  <si>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</si>
  <si>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</si>
  <si>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</si>
  <si>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</si>
  <si>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</si>
  <si>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</si>
  <si>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</si>
  <si>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</si>
  <si>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</si>
  <si>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</si>
  <si>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GANG Kevin Wan Ze</t>
  </si>
  <si>
    <t>GROENENDIJK Tibbe-Jan</t>
  </si>
  <si>
    <t>GROOTJANS Cristiaan</t>
  </si>
  <si>
    <t>GUL Kaan</t>
  </si>
  <si>
    <t>HADITHI Faris-palko</t>
  </si>
  <si>
    <t>HAGEN Jasper</t>
  </si>
  <si>
    <t>HANNING Pelle</t>
  </si>
  <si>
    <t>HARDEMAN Tessa</t>
  </si>
  <si>
    <t>HARTLOOPER Sam</t>
  </si>
  <si>
    <t>HARTOG Pleun</t>
  </si>
  <si>
    <t>HEINO Sander</t>
  </si>
  <si>
    <t>HIETBRINK Gwendola</t>
  </si>
  <si>
    <t>HILLEN Nova</t>
  </si>
  <si>
    <t>SC Den Bosch</t>
  </si>
  <si>
    <t>HOFSTEENGE Quinten</t>
  </si>
  <si>
    <t>IN DEN HAAK Joost</t>
  </si>
  <si>
    <t>JANSEN Sverre</t>
  </si>
  <si>
    <t>JANSSEN Suze</t>
  </si>
  <si>
    <t>JELLETICH Anastasia</t>
  </si>
  <si>
    <t>KATSMAN Koen</t>
  </si>
  <si>
    <t>KEMPINGA Berend</t>
  </si>
  <si>
    <t>KOOPMANS Eliza</t>
  </si>
  <si>
    <t>Schermen Rotterdam Zaïr</t>
  </si>
  <si>
    <t>KOSINKA Adam</t>
  </si>
  <si>
    <t>KRAUS Aaron</t>
  </si>
  <si>
    <t>KROTTJE Quinten</t>
  </si>
  <si>
    <t>KRUIT Samuel</t>
  </si>
  <si>
    <t>KULISIC Vasilije</t>
  </si>
  <si>
    <t>KURIAKOSE Nova</t>
  </si>
  <si>
    <t>LEIJEN Bruno</t>
  </si>
  <si>
    <t>LENDERINK Rik</t>
  </si>
  <si>
    <t>LENTING DJ</t>
  </si>
  <si>
    <t>l'Assaillant</t>
  </si>
  <si>
    <t>LENTING Nathan</t>
  </si>
  <si>
    <t xml:space="preserve">DK </t>
  </si>
  <si>
    <t>LESZCZYNKI Leon</t>
  </si>
  <si>
    <t>LOISEAU JIMENEZ Alvaro</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</si>
  <si>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</si>
  <si>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</si>
  <si>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</si>
  <si>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</si>
  <si>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</si>
  <si>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</si>
  <si>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</si>
  <si>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</si>
  <si>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</si>
  <si>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</si>
  <si>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</si>
  <si>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</si>
  <si>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</si>
  <si>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</si>
  <si>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</si>
  <si>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</si>
  <si>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</si>
  <si>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</si>
  <si>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</si>
  <si>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</si>
  <si>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</si>
  <si>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</si>
  <si>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</si>
  <si>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SC den Bosch</t>
  </si>
  <si>
    <t>RAMBARAN MISHRE Jay</t>
  </si>
  <si>
    <t>RECEVEUR Noud</t>
  </si>
  <si>
    <t>REGELINK Tom</t>
  </si>
  <si>
    <t>ROUWS Gabrielius</t>
  </si>
  <si>
    <t>ROZEMA Kai</t>
  </si>
  <si>
    <t>ROZEMA Takumi</t>
  </si>
  <si>
    <t>RUIJSINK Morrison</t>
  </si>
  <si>
    <t>RUITER Vigo</t>
  </si>
  <si>
    <t>RUIZ DANIEL Juliana</t>
  </si>
  <si>
    <t>RUIZ DANIEL Renzo</t>
  </si>
  <si>
    <t>SCHIPPER Feia</t>
  </si>
  <si>
    <t>Robbschermen</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</si>
  <si>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</si>
  <si>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</si>
  <si>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</si>
  <si>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</si>
  <si>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</si>
  <si>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</si>
  <si>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</si>
  <si>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</si>
  <si>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</si>
  <si>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</si>
  <si>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</si>
  <si>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</si>
  <si>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</si>
  <si>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</si>
  <si>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</si>
  <si>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</si>
  <si>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</si>
  <si>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</si>
  <si>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</si>
  <si>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</si>
  <si>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</si>
  <si>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sc Den Bosch</t>
  </si>
  <si>
    <t>VAN BERKEL Sam</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</si>
  <si>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</si>
  <si>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</si>
  <si>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</si>
  <si>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</si>
  <si>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</si>
  <si>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</si>
  <si>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</si>
  <si>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</si>
  <si>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</si>
  <si>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</si>
  <si>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</si>
  <si>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</si>
  <si>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</si>
  <si>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</si>
  <si>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</si>
  <si>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</si>
  <si>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</si>
  <si>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</si>
  <si>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</si>
  <si>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</si>
  <si>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</si>
  <si>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</si>
  <si>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</si>
  <si>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</si>
  <si>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</si>
  <si>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</si>
  <si>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</si>
  <si>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</si>
  <si>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</si>
  <si>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</si>
  <si>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</si>
  <si>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</si>
  <si>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</si>
  <si>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Jan-Koen</t>
  </si>
  <si>
    <t>VERSTEIJNEN Linus</t>
  </si>
  <si>
    <t>VISCHERS Neo</t>
  </si>
  <si>
    <t>VISSERS Job</t>
  </si>
  <si>
    <t>VOLLEBRECHT Julian</t>
  </si>
  <si>
    <t>VROOLAND Vincent</t>
  </si>
  <si>
    <t>WAPENAAR Vera</t>
  </si>
  <si>
    <t>WARTENBERG Joyce Lynn</t>
  </si>
  <si>
    <t>WESTRA Jasper</t>
  </si>
  <si>
    <t>WIERSMA Niels</t>
  </si>
  <si>
    <t>WILLEMEN Remco</t>
  </si>
  <si>
    <t>Totaal</t>
  </si>
  <si>
    <t>jaar verwijdering</t>
  </si>
  <si>
    <t>pnt t/m jaar verwijdering</t>
  </si>
  <si>
    <t>AMUOM Maurits</t>
  </si>
  <si>
    <t>ANTOKOLETZ Zoska</t>
  </si>
  <si>
    <t>vrijgesteld</t>
  </si>
  <si>
    <t>BAKKER Jonne</t>
  </si>
  <si>
    <t>BAKKER Niels</t>
  </si>
  <si>
    <t>BELJAARS Doeke</t>
  </si>
  <si>
    <t>BENDLE-ROSE Elliott</t>
  </si>
  <si>
    <t>BIJLHOUT Wolf</t>
  </si>
  <si>
    <t>BISANG Hjalmar</t>
  </si>
  <si>
    <t>BLOKS Teun</t>
  </si>
  <si>
    <t>DE GROOT Bas</t>
  </si>
  <si>
    <t>Schermclub Den Bosch</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</si>
  <si>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</si>
  <si>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</si>
  <si>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</si>
  <si>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</si>
  <si>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</si>
  <si>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</si>
  <si>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</si>
  <si>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</si>
  <si>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</si>
  <si>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</si>
  <si>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</si>
  <si>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</si>
  <si>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</si>
  <si>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</si>
  <si>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</si>
  <si>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</si>
  <si>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</si>
  <si>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</si>
  <si>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</si>
  <si>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</si>
  <si>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</si>
  <si>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</si>
  <si>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</si>
  <si>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</si>
  <si>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</si>
  <si>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</si>
  <si>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</si>
  <si>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</si>
  <si>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</si>
  <si>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</si>
  <si>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</si>
  <si>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</si>
  <si>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</si>
  <si>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</si>
  <si>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</si>
  <si>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</si>
  <si>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</si>
  <si>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DAALEN Faber</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</si>
  <si>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</si>
  <si>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</si>
  <si>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</si>
  <si>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</si>
  <si>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</si>
  <si>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</si>
  <si>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</si>
  <si>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</si>
  <si>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</si>
  <si>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</si>
  <si>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</si>
  <si>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</si>
  <si>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</si>
  <si>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</si>
  <si>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</si>
  <si>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</si>
  <si>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</si>
  <si>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</si>
  <si>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</si>
  <si>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</si>
  <si>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</si>
  <si>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</si>
  <si>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</si>
  <si>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</si>
  <si>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</si>
  <si>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</si>
  <si>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</si>
  <si>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</si>
  <si>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</si>
  <si>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</si>
  <si>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</si>
  <si>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</si>
  <si>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</si>
  <si>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</si>
  <si>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</si>
  <si>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</si>
  <si>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</si>
  <si>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</si>
  <si>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</si>
  <si>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</si>
  <si>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</si>
  <si>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</si>
  <si>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</si>
  <si>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</si>
  <si>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</si>
  <si>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</si>
  <si>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</si>
  <si>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</si>
  <si>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</si>
  <si>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</si>
  <si>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</si>
  <si>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</si>
  <si>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</si>
  <si>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</si>
  <si>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</si>
  <si>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</si>
  <si>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</si>
  <si>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</si>
  <si>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</si>
  <si>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</si>
  <si>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</si>
  <si>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</si>
  <si>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</si>
  <si>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</si>
  <si>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</si>
  <si>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</si>
  <si>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</si>
  <si>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</si>
  <si>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</si>
  <si>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</si>
  <si>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</si>
  <si>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</si>
  <si>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</si>
  <si>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</si>
  <si>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</si>
  <si>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</si>
  <si>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</si>
  <si>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</si>
  <si>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</si>
  <si>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</si>
  <si>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</si>
  <si>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</si>
  <si>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</si>
  <si>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</si>
  <si>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</si>
  <si>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</si>
  <si>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</si>
  <si>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</si>
  <si>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</si>
  <si>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</si>
  <si>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</si>
  <si>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</si>
  <si>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</si>
  <si>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</si>
  <si>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</si>
  <si>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</si>
  <si>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</si>
  <si>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</si>
  <si>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</si>
  <si>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</si>
  <si>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</si>
  <si>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</si>
  <si>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</si>
  <si>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</si>
  <si>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</si>
  <si>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</si>
  <si>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</si>
  <si>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</si>
  <si>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</si>
  <si>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</si>
  <si>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</si>
  <si>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</si>
  <si>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</si>
  <si>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</si>
  <si>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</si>
  <si>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</si>
  <si>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</si>
  <si>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</si>
  <si>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</si>
  <si>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</si>
  <si>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</si>
  <si>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</si>
  <si>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</si>
  <si>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</si>
  <si>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</si>
  <si>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</si>
  <si>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</si>
  <si>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</si>
  <si>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</si>
  <si>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</si>
  <si>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</si>
  <si>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</si>
  <si>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</si>
  <si>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</si>
  <si>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</si>
  <si>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</si>
  <si>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</si>
  <si>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</si>
  <si>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</si>
  <si>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</si>
  <si>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</si>
  <si>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</si>
  <si>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</si>
  <si>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</si>
  <si>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</si>
  <si>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</si>
  <si>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</si>
  <si>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</si>
  <si>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</si>
  <si>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</si>
  <si>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</si>
  <si>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</si>
  <si>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</si>
  <si>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</si>
  <si>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</si>
  <si>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</si>
  <si>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</si>
  <si>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</si>
  <si>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</si>
  <si>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</si>
  <si>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</si>
  <si>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</si>
  <si>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</si>
  <si>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</si>
  <si>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</si>
  <si>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</si>
  <si>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</si>
  <si>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</si>
  <si>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</si>
  <si>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</si>
  <si>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</si>
  <si>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</si>
  <si>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</si>
  <si>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</si>
  <si>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</si>
  <si>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</si>
  <si>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</si>
  <si>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</si>
  <si>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</si>
  <si>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</si>
  <si>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</si>
  <si>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</si>
  <si>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</si>
  <si>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</si>
  <si>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</si>
  <si>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</si>
  <si>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</si>
  <si>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</si>
  <si>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</si>
  <si>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</si>
  <si>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</si>
  <si>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</si>
  <si>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</si>
  <si>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</si>
  <si>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</si>
  <si>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</si>
  <si>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</si>
  <si>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</si>
  <si>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</si>
  <si>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</si>
  <si>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</si>
  <si>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</si>
  <si>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</si>
  <si>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</si>
  <si>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</si>
  <si>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</si>
  <si>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</si>
  <si>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</si>
  <si>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</si>
  <si>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</si>
  <si>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</si>
  <si>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</si>
  <si>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</si>
  <si>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</si>
  <si>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</si>
  <si>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</si>
  <si>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</si>
  <si>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</si>
  <si>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</si>
  <si>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</si>
  <si>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</si>
  <si>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</si>
  <si>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</si>
  <si>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</si>
  <si>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</si>
  <si>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</si>
  <si>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</si>
  <si>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</si>
  <si>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</si>
  <si>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</si>
  <si>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</si>
  <si>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</si>
  <si>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</si>
  <si>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</si>
  <si>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</si>
  <si>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</si>
  <si>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</si>
  <si>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</si>
  <si>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</si>
  <si>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</si>
  <si>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</si>
  <si>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</si>
  <si>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</si>
  <si>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</si>
  <si>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</si>
  <si>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</si>
  <si>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</si>
  <si>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</si>
  <si>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</si>
  <si>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</si>
  <si>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</si>
  <si>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</si>
  <si>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</si>
  <si>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</si>
  <si>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</si>
  <si>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</si>
  <si>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</si>
  <si>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</si>
  <si>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</si>
  <si>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</si>
  <si>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</si>
  <si>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</si>
  <si>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</si>
  <si>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</si>
  <si>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</si>
  <si>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</si>
  <si>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</si>
  <si>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aantal</t>
  </si>
  <si>
    <t>Utrecht2</t>
  </si>
  <si>
    <t>Lent</t>
  </si>
  <si>
    <t>Abel van Rijnswou</t>
  </si>
  <si>
    <t>f</t>
  </si>
  <si>
    <t>io</t>
  </si>
  <si>
    <t>s</t>
  </si>
  <si>
    <t>Atilla Overbeeke</t>
  </si>
  <si>
    <t>Axel Hartog</t>
  </si>
  <si>
    <t>Baris Nurver</t>
  </si>
  <si>
    <t>Benno Tychon</t>
  </si>
  <si>
    <t>Berend Willemen</t>
  </si>
  <si>
    <t>Chen Yifei</t>
  </si>
  <si>
    <t>Chris Ruiz</t>
  </si>
  <si>
    <t>Coen de Voogd</t>
  </si>
  <si>
    <t>d</t>
  </si>
  <si>
    <t>Daan Warreman</t>
  </si>
  <si>
    <t>David Thompson</t>
  </si>
  <si>
    <t>Elise Butin Bik</t>
  </si>
  <si>
    <t>Emiel Wojcik</t>
  </si>
  <si>
    <t>Emma van Rijnswou</t>
  </si>
  <si>
    <t>Enno Chiang</t>
  </si>
  <si>
    <t>Enrique Endendijk</t>
  </si>
  <si>
    <t>in opleiding</t>
  </si>
  <si>
    <t>Erik Bel</t>
  </si>
  <si>
    <t>rolstoel</t>
  </si>
  <si>
    <t>Fin van de Sande</t>
  </si>
  <si>
    <t>Frans Hoeberechts</t>
  </si>
  <si>
    <t>La Rapiere</t>
  </si>
  <si>
    <t>Freek van Tesseling</t>
  </si>
  <si>
    <t>Giel Witmer</t>
  </si>
  <si>
    <t>Glenn Duivevoorden</t>
  </si>
  <si>
    <t>Hans van den Berg</t>
  </si>
  <si>
    <t>Henri Faber</t>
  </si>
  <si>
    <t>Henriëtte Hofman</t>
  </si>
  <si>
    <t>Scharamouche</t>
  </si>
  <si>
    <t>Hugo Jan Dulfer</t>
  </si>
  <si>
    <t>Iris van Viegen</t>
  </si>
  <si>
    <t>Irma de Ridder</t>
  </si>
  <si>
    <t>Jacco Aantjes</t>
  </si>
  <si>
    <t>Schermschool Midden Nederland</t>
  </si>
  <si>
    <t>Jan Koen Versteijnen</t>
  </si>
  <si>
    <t>Jasper Hendriks</t>
  </si>
  <si>
    <t>Jeroen Eikelenboom</t>
  </si>
  <si>
    <t>Jeroen Hustinx</t>
  </si>
  <si>
    <t>Jonne Bakker</t>
  </si>
  <si>
    <t>Joshua Mynott</t>
  </si>
  <si>
    <t>Juan Trejo</t>
  </si>
  <si>
    <t>Jurgen Turkstra</t>
  </si>
  <si>
    <t>Kilian Faas</t>
  </si>
  <si>
    <t>Koen de Voogd</t>
  </si>
  <si>
    <t>Koen Versteijnen</t>
  </si>
  <si>
    <t>Lars Kramer</t>
  </si>
  <si>
    <t>Laurens Teuben</t>
  </si>
  <si>
    <t>Lennert Meevis</t>
  </si>
  <si>
    <t>Lotte Eerdekens</t>
  </si>
  <si>
    <t>Maarten Postma</t>
  </si>
  <si>
    <t>Matthijs Bonefaas</t>
  </si>
  <si>
    <t>Meryam Saïd</t>
  </si>
  <si>
    <t>Michiel UitdeHaag</t>
  </si>
  <si>
    <t>Patrick Pieters</t>
  </si>
  <si>
    <t>Peter Bijker</t>
  </si>
  <si>
    <t>Peter Scheurwegen</t>
  </si>
  <si>
    <t>SC Latem-Deurle</t>
  </si>
  <si>
    <t>Qiang Hilgenbos</t>
  </si>
  <si>
    <t>i.o.</t>
  </si>
  <si>
    <t>Quinton Faas</t>
  </si>
  <si>
    <t>Ralph Postma</t>
  </si>
  <si>
    <t>Renate van Helvoort</t>
  </si>
  <si>
    <t>Richard Abbink</t>
  </si>
  <si>
    <t>Rick Lamont</t>
  </si>
  <si>
    <t>Roeland Reesinck</t>
  </si>
  <si>
    <t xml:space="preserve">Rowan Jamakina </t>
  </si>
  <si>
    <t>Ryan Waasdorp</t>
  </si>
  <si>
    <t>Shuai Oppers</t>
  </si>
  <si>
    <t>Thor van der Klei</t>
  </si>
  <si>
    <t>Tim Imming</t>
  </si>
  <si>
    <t>Tom van Borkum</t>
  </si>
  <si>
    <t>Tunghai Chiang</t>
  </si>
  <si>
    <t>Veronique Kocken</t>
  </si>
  <si>
    <t>Vic Hartog</t>
  </si>
  <si>
    <t>Vivian de Meurichy</t>
  </si>
  <si>
    <t>Wim Jan Hilgebos</t>
  </si>
  <si>
    <t>Wojtek van Barneveld</t>
  </si>
  <si>
    <t>Totaal per maand</t>
  </si>
  <si>
    <t>datum</t>
  </si>
  <si>
    <t>ALBANO  Bautista</t>
  </si>
  <si>
    <t>totaal 2022/2023</t>
  </si>
  <si>
    <t>Baarn1</t>
  </si>
  <si>
    <t>Baarn2</t>
  </si>
  <si>
    <t>Overzicht deelname JPT seizoen 2023/2024</t>
  </si>
  <si>
    <t>Floret GW</t>
  </si>
  <si>
    <t>Floret KW</t>
  </si>
  <si>
    <t>Sabel KW</t>
  </si>
  <si>
    <t>Sabel GW</t>
  </si>
  <si>
    <t>Degen KW</t>
  </si>
  <si>
    <t>Degen GW</t>
  </si>
  <si>
    <t>maand</t>
  </si>
  <si>
    <t>aantal deelnemers</t>
  </si>
  <si>
    <t>aantal scheidsrechters</t>
  </si>
  <si>
    <t>GREVENSTUK Victor</t>
  </si>
  <si>
    <t>AMUOIN Maurits</t>
  </si>
  <si>
    <t>HOOGENDOORN David</t>
  </si>
  <si>
    <t>ja</t>
  </si>
  <si>
    <t>nee</t>
  </si>
  <si>
    <t>GAASENBEEK Floris</t>
  </si>
  <si>
    <t>GUNS Mauk</t>
  </si>
  <si>
    <t>Ineke Knape</t>
  </si>
  <si>
    <t>abonnement</t>
  </si>
  <si>
    <t>deels</t>
  </si>
  <si>
    <t>SCHNITZLER Nora</t>
  </si>
  <si>
    <t>KORNEV Ilia</t>
  </si>
  <si>
    <t>VOOIJS Yara</t>
  </si>
  <si>
    <t>Estec FC</t>
  </si>
  <si>
    <t>rekenkolom in 2024/2025 corrigeren</t>
  </si>
  <si>
    <t>volledig</t>
  </si>
  <si>
    <t xml:space="preserve">Eddy Butin Bik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</si>
</sst>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1"/>
      <color rgb="FF000000"/>
      <name val="Calibri"/>
      <family val="2"/>
    </font>
    <font>
      <sz val="10"/>
      <color rgb="FF000000"/>
      <name val="Arial"/>
      <family val="2"/>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48">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3"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41"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2" fillId="0" borderId="0" xfId="6" applyFont="1" applyAlignment="1">
      <alignment horizontal="center"/>
    </xf>
    <xf numFmtId="0" fontId="43" fillId="5" borderId="0" xfId="6" applyFont="1" applyFill="1" applyBorder="1" applyAlignment="1">
      <alignment horizontal="center" vertical="center"/>
    </xf>
    <xf numFmtId="49" fontId="29" fillId="0" borderId="0" xfId="4" applyNumberFormat="1" applyFont="1" applyAlignment="1">
      <alignment horizontal="center"/>
    </xf>
    <xf numFmtId="0" fontId="44" fillId="5" borderId="0" xfId="6" applyFont="1" applyFill="1" applyBorder="1" applyAlignment="1">
      <alignment horizontal="center" vertical="center"/>
    </xf>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5" fillId="0" borderId="28" xfId="4" applyBorder="1"/>
    <xf numFmtId="0" fontId="5" fillId="0" borderId="29" xfId="4" applyBorder="1"/>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xf numFmtId="0" fontId="5" fillId="0" borderId="37" xfId="4" applyBorder="1"/>
    <xf numFmtId="0" fontId="5" fillId="0" borderId="43" xfId="4" applyBorder="1"/>
    <xf numFmtId="0" fontId="28" fillId="0" borderId="0" xfId="4" applyFont="1" applyAlignment="1">
      <alignment horizontal="left"/>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xf numFmtId="0" fontId="0" fillId="0" borderId="0" xfId="0" applyBorder="1"/>
    <xf numFmtId="165" fontId="2" fillId="0" borderId="0" xfId="0" applyNumberFormat="1" applyFont="1" applyBorder="1"/>
    <xf numFmtId="0" fontId="0" fillId="8" borderId="0" xfId="0" applyFill="1" applyAlignment="1">
      <alignment wrapText="1"/>
    </xf>
    <xf numFmtId="0" fontId="4" fillId="0" borderId="0" xfId="2" applyFont="1" applyFill="1"/>
    <xf numFmtId="0" fontId="4" fillId="0" borderId="2" xfId="2" applyFont="1" applyFill="1" applyBorder="1" applyAlignment="1">
      <alignment horizontal="left"/>
    </xf>
    <xf numFmtId="0" fontId="4" fillId="0" borderId="1" xfId="2" applyFont="1" applyFill="1" applyBorder="1" applyAlignment="1">
      <alignment horizontal="left"/>
    </xf>
    <xf numFmtId="1" fontId="4" fillId="0" borderId="4" xfId="2" applyNumberFormat="1" applyFont="1" applyFill="1" applyBorder="1" applyAlignment="1">
      <alignment horizontal="center"/>
    </xf>
    <xf numFmtId="0" fontId="3" fillId="0" borderId="1" xfId="2" applyFill="1" applyBorder="1" applyAlignment="1">
      <alignment horizontal="center" vertical="center"/>
    </xf>
    <xf numFmtId="0" fontId="3" fillId="0" borderId="1" xfId="2" applyFill="1" applyBorder="1"/>
    <xf numFmtId="164" fontId="5" fillId="0" borderId="1" xfId="2" applyNumberFormat="1" applyFont="1" applyFill="1" applyBorder="1" applyAlignment="1">
      <alignment horizontal="center" vertical="center"/>
    </xf>
    <xf numFmtId="164" fontId="4" fillId="0" borderId="4" xfId="2" applyNumberFormat="1" applyFont="1" applyFill="1" applyBorder="1" applyAlignment="1"/>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70">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b val="0"/>
        <i val="0"/>
        <strike val="0"/>
        <condense val="0"/>
        <extend val="0"/>
        <outline val="0"/>
        <shadow val="0"/>
        <u val="none"/>
        <vertAlign val="baseline"/>
        <sz val="11"/>
        <color auto="1"/>
        <name val="Calibri"/>
        <family val="2"/>
        <charset val="1"/>
        <scheme val="none"/>
      </font>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136525</xdr:colOff>
          <xdr:row>93</xdr:row>
          <xdr:rowOff>48471</xdr:rowOff>
        </xdr:from>
        <xdr:to>
          <xdr:col>21</xdr:col>
          <xdr:colOff>239606</xdr:colOff>
          <xdr:row>93</xdr:row>
          <xdr:rowOff>230717</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40592" y="23704338"/>
              <a:ext cx="6029747"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80433</xdr:colOff>
          <xdr:row>118</xdr:row>
          <xdr:rowOff>76201</xdr:rowOff>
        </xdr:from>
        <xdr:to>
          <xdr:col>20</xdr:col>
          <xdr:colOff>255482</xdr:colOff>
          <xdr:row>118</xdr:row>
          <xdr:rowOff>259081</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37366" y="29861934"/>
              <a:ext cx="6025516" cy="182880"/>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131233</xdr:colOff>
          <xdr:row>143</xdr:row>
          <xdr:rowOff>61384</xdr:rowOff>
        </xdr:from>
        <xdr:to>
          <xdr:col>20</xdr:col>
          <xdr:colOff>306282</xdr:colOff>
          <xdr:row>143</xdr:row>
          <xdr:rowOff>250614</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88166" y="36078584"/>
              <a:ext cx="6025516" cy="189230"/>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38099</xdr:colOff>
          <xdr:row>168</xdr:row>
          <xdr:rowOff>85725</xdr:rowOff>
        </xdr:from>
        <xdr:to>
          <xdr:col>20</xdr:col>
          <xdr:colOff>213148</xdr:colOff>
          <xdr:row>168</xdr:row>
          <xdr:rowOff>271780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595032" y="42088858"/>
              <a:ext cx="6025516" cy="186055"/>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292100</xdr:colOff>
          <xdr:row>193</xdr:row>
          <xdr:rowOff>29633</xdr:rowOff>
        </xdr:from>
        <xdr:to>
          <xdr:col>20</xdr:col>
          <xdr:colOff>120016</xdr:colOff>
          <xdr:row>193</xdr:row>
          <xdr:rowOff>212513</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1900" y="47891700"/>
              <a:ext cx="6025516" cy="182880"/>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170392</xdr:colOff>
          <xdr:row>44</xdr:row>
          <xdr:rowOff>7197</xdr:rowOff>
        </xdr:from>
        <xdr:to>
          <xdr:col>21</xdr:col>
          <xdr:colOff>273473</xdr:colOff>
          <xdr:row>44</xdr:row>
          <xdr:rowOff>188384</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74459" y="11657330"/>
              <a:ext cx="6029747"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88900</xdr:colOff>
          <xdr:row>243</xdr:row>
          <xdr:rowOff>42334</xdr:rowOff>
        </xdr:from>
        <xdr:to>
          <xdr:col>20</xdr:col>
          <xdr:colOff>263949</xdr:colOff>
          <xdr:row>243</xdr:row>
          <xdr:rowOff>225214</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45833" y="59613801"/>
              <a:ext cx="6025516" cy="182880"/>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29633</xdr:colOff>
          <xdr:row>268</xdr:row>
          <xdr:rowOff>107951</xdr:rowOff>
        </xdr:from>
        <xdr:to>
          <xdr:col>20</xdr:col>
          <xdr:colOff>204682</xdr:colOff>
          <xdr:row>269</xdr:row>
          <xdr:rowOff>2964</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86566" y="65538351"/>
              <a:ext cx="6025516" cy="182880"/>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293</xdr:row>
          <xdr:rowOff>49741</xdr:rowOff>
        </xdr:from>
        <xdr:to>
          <xdr:col>20</xdr:col>
          <xdr:colOff>213149</xdr:colOff>
          <xdr:row>293</xdr:row>
          <xdr:rowOff>232621</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595033" y="71313674"/>
              <a:ext cx="6025516" cy="182880"/>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131233</xdr:colOff>
          <xdr:row>368</xdr:row>
          <xdr:rowOff>78316</xdr:rowOff>
        </xdr:from>
        <xdr:to>
          <xdr:col>20</xdr:col>
          <xdr:colOff>306282</xdr:colOff>
          <xdr:row>368</xdr:row>
          <xdr:rowOff>261196</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88166" y="88842849"/>
              <a:ext cx="6025516" cy="182880"/>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88899</xdr:colOff>
          <xdr:row>393</xdr:row>
          <xdr:rowOff>50800</xdr:rowOff>
        </xdr:from>
        <xdr:to>
          <xdr:col>20</xdr:col>
          <xdr:colOff>263948</xdr:colOff>
          <xdr:row>393</xdr:row>
          <xdr:rowOff>233680</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45832" y="94699667"/>
              <a:ext cx="6025516" cy="182880"/>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325966</xdr:colOff>
          <xdr:row>418</xdr:row>
          <xdr:rowOff>119593</xdr:rowOff>
        </xdr:from>
        <xdr:to>
          <xdr:col>20</xdr:col>
          <xdr:colOff>153882</xdr:colOff>
          <xdr:row>419</xdr:row>
          <xdr:rowOff>17781</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35766" y="100601993"/>
              <a:ext cx="6025516" cy="186055"/>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275166</xdr:colOff>
          <xdr:row>443</xdr:row>
          <xdr:rowOff>75142</xdr:rowOff>
        </xdr:from>
        <xdr:to>
          <xdr:col>20</xdr:col>
          <xdr:colOff>103082</xdr:colOff>
          <xdr:row>443</xdr:row>
          <xdr:rowOff>261197</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84966" y="106441875"/>
              <a:ext cx="6025516" cy="186055"/>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156633</xdr:colOff>
          <xdr:row>468</xdr:row>
          <xdr:rowOff>28575</xdr:rowOff>
        </xdr:from>
        <xdr:to>
          <xdr:col>20</xdr:col>
          <xdr:colOff>331682</xdr:colOff>
          <xdr:row>468</xdr:row>
          <xdr:rowOff>218863</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13566" y="112254242"/>
              <a:ext cx="6025516" cy="190288"/>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71967</xdr:colOff>
          <xdr:row>217</xdr:row>
          <xdr:rowOff>168274</xdr:rowOff>
        </xdr:from>
        <xdr:to>
          <xdr:col>20</xdr:col>
          <xdr:colOff>247016</xdr:colOff>
          <xdr:row>218</xdr:row>
          <xdr:rowOff>181820</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28900" y="53736874"/>
              <a:ext cx="6025516" cy="182879"/>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12699</xdr:colOff>
          <xdr:row>318</xdr:row>
          <xdr:rowOff>3175</xdr:rowOff>
        </xdr:from>
        <xdr:to>
          <xdr:col>20</xdr:col>
          <xdr:colOff>187748</xdr:colOff>
          <xdr:row>318</xdr:row>
          <xdr:rowOff>186055</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69632" y="77075242"/>
              <a:ext cx="6025516" cy="18288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63500</xdr:colOff>
          <xdr:row>343</xdr:row>
          <xdr:rowOff>9526</xdr:rowOff>
        </xdr:from>
        <xdr:to>
          <xdr:col>20</xdr:col>
          <xdr:colOff>238549</xdr:colOff>
          <xdr:row>343</xdr:row>
          <xdr:rowOff>192406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20433" y="82940526"/>
              <a:ext cx="6025516" cy="182880"/>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68</xdr:row>
          <xdr:rowOff>30480</xdr:rowOff>
        </xdr:from>
        <xdr:to>
          <xdr:col>21</xdr:col>
          <xdr:colOff>182880</xdr:colOff>
          <xdr:row>68</xdr:row>
          <xdr:rowOff>220980</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80267" y="17624213"/>
              <a:ext cx="6033346"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4" rowHeight="234950"/>
  <slicer name="Vereniging" xr10:uid="{68C8F00E-EAF7-4B8A-9C84-2C7BE06D1BDE}" cache="Slicer_Vereniging" caption="Vereniging"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69" dataDxfId="168" headerRowCellStyle="Verklarende tekst 2" dataCellStyle="Verklarende tekst 2">
  <autoFilter ref="A5:K15" xr:uid="{FF871E95-668C-493D-BF17-59BB0B0475FA}"/>
  <tableColumns count="11">
    <tableColumn id="1" xr3:uid="{3BB49EC0-DD30-42D1-90E1-C3A4F337F28B}" name="maand" totalsRowLabel="Totaal" dataDxfId="167" totalsRowDxfId="23" dataCellStyle="Verklarende tekst 2"/>
    <tableColumn id="2" xr3:uid="{5ECA8D68-E0AA-4E06-BF59-5D18B05E2638}" name="locatie" dataDxfId="166" totalsRowDxfId="22" dataCellStyle="Verklarende tekst 2"/>
    <tableColumn id="3" xr3:uid="{A3634916-F40C-4CB8-BB8C-9827E7F547BC}" name="Floret KW" totalsRowFunction="sum" dataDxfId="165" totalsRowDxfId="21" dataCellStyle="Verklarende tekst 2"/>
    <tableColumn id="4" xr3:uid="{B2DA86BF-F584-4BBF-8E83-2DBD1139812C}" name="Floret GW" totalsRowFunction="sum" dataDxfId="164" totalsRowDxfId="20" dataCellStyle="Verklarende tekst 2"/>
    <tableColumn id="5" xr3:uid="{E431AEA1-C7DD-4E6C-B1FF-72A5CD52BE83}" name="Sabel KW" totalsRowFunction="sum" dataDxfId="163" totalsRowDxfId="19" dataCellStyle="Verklarende tekst 2"/>
    <tableColumn id="6" xr3:uid="{988E6E93-DF71-41FE-AE8A-23759595B7D1}" name="Sabel GW" totalsRowFunction="sum" dataDxfId="162" totalsRowDxfId="18" dataCellStyle="Verklarende tekst 2"/>
    <tableColumn id="7" xr3:uid="{E92FD4BC-4222-4634-AAF1-78CF1D6D6C08}" name="Degen KW" totalsRowFunction="sum" dataDxfId="161" totalsRowDxfId="17" dataCellStyle="Verklarende tekst 2"/>
    <tableColumn id="8" xr3:uid="{9E7A229E-3415-4D2D-B3D8-6889AD5ECA77}" name="Degen GW" totalsRowFunction="sum" dataDxfId="160" totalsRowDxfId="16" dataCellStyle="Verklarende tekst 2"/>
    <tableColumn id="9" xr3:uid="{6114233B-28F4-4F2A-B35A-101F2E20975E}" name="aantal deelnemers" totalsRowFunction="sum" dataDxfId="159" totalsRowDxfId="15" dataCellStyle="Verklarende tekst 2">
      <calculatedColumnFormula>SUM(Tabel9[[#This Row],[Floret KW]:[Degen GW]])</calculatedColumnFormula>
    </tableColumn>
    <tableColumn id="10" xr3:uid="{2C7A9436-EA2F-4861-AB17-2D3508B973D1}" name="aantal scheidsrechters" totalsRowFunction="sum" dataDxfId="158" totalsRowDxfId="14" dataCellStyle="Verklarende tekst 2"/>
    <tableColumn id="11" xr3:uid="{A2CF4580-8393-450D-9A96-F18ECFAEEA7F}" name="elektrisch" dataDxfId="75" totalsRowDxfId="13"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6:BY185">
    <sortCondition ref="E5:E249"/>
  </sortState>
  <tableColumns count="77">
    <tableColumn id="1" xr3:uid="{A334AE55-14CF-48CD-B93D-EA107884C2D3}" name="wapen" totalsRowFunction="count" dataDxfId="157" totalsRowDxfId="12"/>
    <tableColumn id="2" xr3:uid="{61D81D0B-7756-4DF8-A3F2-240274217004}" name="elektrisch" dataDxfId="156" totalsRowDxfId="11"/>
    <tableColumn id="3" xr3:uid="{6729513E-DF7A-4CB5-AA99-9E6CFA0C6616}" name="aanwezigheid" totalsRowFunction="sum" dataDxfId="155" totalsRowDxfId="10"/>
    <tableColumn id="77" xr3:uid="{10D81612-7A79-406F-9BCB-F23F3D0A5CAA}" name="betaald" dataDxfId="154" totalsRowDxfId="9"/>
    <tableColumn id="4" xr3:uid="{B5BDA459-9C38-4775-AD2E-FECC83856787}" name="Naam"/>
    <tableColumn id="5" xr3:uid="{47EFC057-3165-4F19-9287-7A065B2EC8C3}" name="KNAS nr" dataDxfId="153" totalsRowDxfId="8"/>
    <tableColumn id="6" xr3:uid="{F6DD3C79-7693-4A6B-98B4-381DC0A835AF}" name="Vereniging" totalsRowDxfId="7"/>
    <tableColumn id="7" xr3:uid="{2445CDB8-60AE-4C61-A530-D54691F39B2C}" name="Totaal Punten" dataDxfId="152">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51" totalsRowDxfId="6">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50" dataCellStyle="Komma"/>
    <tableColumn id="13" xr3:uid="{EDFE0C4F-0BDA-439A-9B1D-15E6B52CCFB9}" name="LPR 1" totalsRowFunction="count" dataDxfId="149" totalsRowDxfId="5"/>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48"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47"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46"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145" totalsRowDxfId="4"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44" totalsRowDxfId="3">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43" totalsRowDxfId="2"/>
    <tableColumn id="75" xr3:uid="{8988E613-2422-40A5-AD40-F9EBABA383E1}" name="contr" dataDxfId="142" totalsRowDxfId="1">
      <calculatedColumnFormula>Tabel2[[#This Row],[Diploma]]-Tabel2[[#This Row],[Uitgeschreven]]</calculatedColumnFormula>
    </tableColumn>
    <tableColumn id="76" xr3:uid="{DFA90CD1-BD6A-4EBC-8551-DB8688BBE7BE}" name="Actie" totalsRowFunction="count" dataDxfId="141" totalsRowDxfId="0">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40" dataDxfId="139">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38">
      <calculatedColumnFormula>Tabel2[[#This Row],[pnt 2022/2023]]</calculatedColumnFormula>
      <totalsRowFormula>COUNTIF(Tabel7[punten seizoen],"&gt;600")</totalsRowFormula>
    </tableColumn>
    <tableColumn id="3" xr3:uid="{CB4FCD0B-7155-4247-AA8F-576D8332839E}" name="huidige stand" dataDxfId="137" totalsRowDxfId="136">
      <calculatedColumnFormula>CA5+CB5</calculatedColumnFormula>
    </tableColumn>
    <tableColumn id="10" xr3:uid="{6FA78EAF-9B01-4BF0-AD31-E6953E450211}" name="sep" dataDxfId="135" totalsRowDxfId="134">
      <calculatedColumnFormula>IF(Tabel2[[#This Row],[LPR 1]]&gt;0,1,0)</calculatedColumnFormula>
    </tableColumn>
    <tableColumn id="11" xr3:uid="{3462D9C7-559B-4CC5-A18F-7AB25C1B13FD}" name="okt" dataDxfId="133" totalsRowDxfId="132">
      <calculatedColumnFormula>IF(Tabel2[[#This Row],[LPR 2]]&gt;0,1,0)</calculatedColumnFormula>
    </tableColumn>
    <tableColumn id="12" xr3:uid="{BFBCC71D-43C8-4215-ACBD-1D158BC16F8F}" name="nov" dataDxfId="131" totalsRowDxfId="130">
      <calculatedColumnFormula>IF(Tabel2[[#This Row],[LPR 3]]&gt;0,1,0)</calculatedColumnFormula>
    </tableColumn>
    <tableColumn id="13" xr3:uid="{E054DF9E-679B-4578-913E-CF50E08DC0E0}" name="dec" dataDxfId="129" totalsRowDxfId="128">
      <calculatedColumnFormula>IF(Tabel2[[#This Row],[LPR 4]]&gt;0,1,0)</calculatedColumnFormula>
    </tableColumn>
    <tableColumn id="14" xr3:uid="{8FA8F07B-82D1-4836-BC21-BFCFCAD0B55E}" name="jan" dataDxfId="127" totalsRowDxfId="126">
      <calculatedColumnFormula>IF(Tabel2[[#This Row],[LPR 5]]&gt;0,1,0)</calculatedColumnFormula>
    </tableColumn>
    <tableColumn id="15" xr3:uid="{DF0BC8D7-548A-429A-9401-5F883FC10998}" name="feb" dataDxfId="125" totalsRowDxfId="124">
      <calculatedColumnFormula>IF(Tabel2[[#This Row],[LPR 6]]&gt;0,1,0)</calculatedColumnFormula>
    </tableColumn>
    <tableColumn id="16" xr3:uid="{53241DED-86E3-49FA-8A5C-98515C96C20C}" name="mrt" dataDxfId="123" totalsRowDxfId="122">
      <calculatedColumnFormula>IF(Tabel2[[#This Row],[LPR 7]]&gt;0,1,0)</calculatedColumnFormula>
    </tableColumn>
    <tableColumn id="17" xr3:uid="{07ADD67D-15E8-4F43-9219-3B45091ECD06}" name="apr" dataDxfId="121" totalsRowDxfId="120">
      <calculatedColumnFormula>IF(Tabel2[[#This Row],[LPR 8]]&gt;0,1,0)</calculatedColumnFormula>
    </tableColumn>
    <tableColumn id="18" xr3:uid="{E1ADC7A6-B70E-488D-B7FC-E553A1F8E39A}" name="mei" dataDxfId="119" totalsRowDxfId="118">
      <calculatedColumnFormula>IF(Tabel2[[#This Row],[LPR 9]]&gt;0,1,0)</calculatedColumnFormula>
    </tableColumn>
    <tableColumn id="9" xr3:uid="{F63D32CD-7FE5-4C6D-A407-4D5D6277098C}" name="jun" dataDxfId="117" totalsRowDxfId="116">
      <calculatedColumnFormula>IF(Tabel2[[#This Row],[LPR 10]]&gt;0,1,0)</calculatedColumnFormula>
    </tableColumn>
    <tableColumn id="19" xr3:uid="{43D388A4-BFCC-467C-911C-A10BD01F28D3}" name="deelname" totalsRowFunction="custom" dataDxfId="115" totalsRowDxfId="114">
      <calculatedColumnFormula>SUM(Tabel7[[#This Row],[sep]:[jun]])</calculatedColumnFormula>
      <totalsRowFormula>COUNTIF(Tabel7[deelname],"&gt;6")</totalsRowFormula>
    </tableColumn>
    <tableColumn id="4" xr3:uid="{B22F1FDD-0E53-43A4-A8B4-A40CEB1BB562}" name="1000" totalsRowFunction="custom" dataDxfId="113" totalsRowDxfId="112">
      <calculatedColumnFormula>IF(AND($CA5&lt;1000,$CC5&gt;1000),"x","")</calculatedColumnFormula>
      <totalsRowFormula>COUNTIF(Tabel7[1000],"x")</totalsRowFormula>
    </tableColumn>
    <tableColumn id="5" xr3:uid="{297478BB-226F-4F03-B87C-535E8E3887B3}" name="1500" totalsRowFunction="custom" dataDxfId="111" totalsRowDxfId="110">
      <calculatedColumnFormula>IF(AND($CA5&lt;1500,$CC5&gt;1500),"x","")</calculatedColumnFormula>
      <totalsRowFormula>COUNTIF(Tabel7[1500],"x")</totalsRowFormula>
    </tableColumn>
    <tableColumn id="6" xr3:uid="{A38BB6BD-28B3-47C5-9F23-1E256A89C885}" name="2000" totalsRowFunction="custom" dataDxfId="109" totalsRowDxfId="108">
      <calculatedColumnFormula>IF(AND($CA5&lt;2000,$CC5&gt;2000),"x","")</calculatedColumnFormula>
      <totalsRowFormula>COUNTIF(Tabel7[2000],"x")</totalsRowFormula>
    </tableColumn>
    <tableColumn id="7" xr3:uid="{D6BC981C-FCC3-4C3E-8831-5A890E690553}" name="2500" totalsRowFunction="custom" totalsRowDxfId="107">
      <calculatedColumnFormula>IF(AND($CA5&lt;2500,$CC5&gt;2500),"x","")</calculatedColumnFormula>
      <totalsRowFormula>COUNTIF(Tabel7[2500],"x")</totalsRowFormula>
    </tableColumn>
    <tableColumn id="8" xr3:uid="{97CC2838-1D45-4405-B14A-3204B2A4048C}" name="3000" totalsRowFunction="custom" dataDxfId="106" totalsRowDxfId="105">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104" dataDxfId="103">
  <autoFilter ref="X1:AC19" xr:uid="{EC327312-2FD2-4A91-8CAD-E9700FC24324}"/>
  <tableColumns count="6">
    <tableColumn id="6" xr3:uid="{026ED33D-D8CE-478D-B3EE-5E9F5C5FDC08}" name="ga naar poule" dataDxfId="102"/>
    <tableColumn id="5" xr3:uid="{6B22D386-6ADF-4FD4-8A5D-56F6937F1FA3}" name="wapen D/F/S" dataDxfId="101"/>
    <tableColumn id="1" xr3:uid="{287950D6-B437-48BC-B2E0-90BA62B1BC3B}" name="Loper nr." dataDxfId="100"/>
    <tableColumn id="2" xr3:uid="{F5F5B7A3-FAAC-40B1-B7F9-EF503412C8F8}" name="Poule E/M/G" dataDxfId="99"/>
    <tableColumn id="3" xr3:uid="{0367D852-0A73-4489-8EAD-2D16B0096CA4}" name="wapen G/K" dataDxfId="98"/>
    <tableColumn id="4" xr3:uid="{DBF36606-0929-44DA-B305-8B1C472D0B75}" name="#" dataDxfId="9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96" dataDxfId="95" headerRowCellStyle="Standaard 2 2" dataCellStyle="Standaard 2 2">
  <autoFilter ref="AS1:AU19" xr:uid="{B5A1E109-71F0-421B-83AF-C668837FB5F8}"/>
  <tableColumns count="3">
    <tableColumn id="1" xr3:uid="{BEA14765-EFFE-4115-A034-AAF4383A7304}" name="PR" dataDxfId="94" dataCellStyle="Standaard 2 2"/>
    <tableColumn id="2" xr3:uid="{A9B4DEDA-133E-4F2A-984A-920D27AF4E86}" name="RIJ" dataDxfId="93" dataCellStyle="Standaard 2 2"/>
    <tableColumn id="3" xr3:uid="{D0985641-B640-4A56-8C74-F35FB18FB39A}" name="KOLOM" dataDxfId="92"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91" dataDxfId="90" headerRowCellStyle="Standaard 2 2" dataCellStyle="Standaard 2 2">
  <autoFilter ref="AW1:AY10" xr:uid="{5B3E0056-AA78-41FB-9806-7BFD577D2DDD}"/>
  <tableColumns count="3">
    <tableColumn id="1" xr3:uid="{2DB8B3CF-E40C-47B3-A661-F8F935BF3026}" name="KOPIE" dataDxfId="89" dataCellStyle="Standaard 2 2"/>
    <tableColumn id="2" xr3:uid="{31AF35D2-8385-4A2B-B89A-CA662FADA1E0}" name="RIJ" dataDxfId="88" dataCellStyle="Standaard 2 2"/>
    <tableColumn id="3" xr3:uid="{6F94AFCD-2143-44D8-B7DD-96A92BA3C907}" name="KOLOM" dataDxfId="87"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77" totalsRowCount="1">
  <autoFilter ref="A1:U76" xr:uid="{359AF6B3-316A-4521-83F5-975D5FA587AE}"/>
  <sortState xmlns:xlrd2="http://schemas.microsoft.com/office/spreadsheetml/2017/richdata2" ref="A2:U76">
    <sortCondition ref="B2:B76"/>
    <sortCondition ref="A2:A76"/>
  </sortState>
  <tableColumns count="21">
    <tableColumn id="1" xr3:uid="{8913EBBF-050E-4088-A065-898E460E4B01}" name="Naam" totalsRowLabel="Totaal per maand" dataDxfId="86" totalsRowDxfId="34" dataCellStyle="Verklarende tekst 2"/>
    <tableColumn id="2" xr3:uid="{1FDC3ACF-02A2-428F-93B9-766541AD75C5}" name="Vereniging" totalsRowFunction="count" dataDxfId="85" totalsRowDxfId="33" dataCellStyle="Verklarende tekst 2"/>
    <tableColumn id="3" xr3:uid="{87258C6B-6BC1-42CA-8B23-DD868DB5DB8F}" name="floret" dataDxfId="84" totalsRowDxfId="32" dataCellStyle="Verklarende tekst 2"/>
    <tableColumn id="4" xr3:uid="{A5D59F26-A93B-4678-8D95-1784CC93EBB2}" name="sabel" dataDxfId="83" totalsRowDxfId="31" dataCellStyle="Verklarende tekst 2"/>
    <tableColumn id="5" xr3:uid="{7019EB52-F107-464D-A78A-30BE412E465B}" name="degen" dataDxfId="82" totalsRowDxfId="30" dataCellStyle="Verklarende tekst 2"/>
    <tableColumn id="6" xr3:uid="{DD97D4F5-766B-464B-BF1F-9C4E04D74107}" name="opmerking" dataDxfId="81" totalsRowDxfId="29" dataCellStyle="Verklarende tekst 2"/>
    <tableColumn id="7" xr3:uid="{FA33E786-924D-425B-94CB-05D4DD446C0B}" name="diploma/i.o." dataDxfId="80" totalsRowDxfId="28" dataCellStyle="Verklarende tekst 2"/>
    <tableColumn id="8" xr3:uid="{9061F790-4FBB-4AAB-AA5A-3C90284A199B}" name="niveau" dataDxfId="79" totalsRowDxfId="27" dataCellStyle="Verklarende tekst 2"/>
    <tableColumn id="9" xr3:uid="{D401653E-C523-4C36-96F7-21C60057F490}" name="gen. totaal" dataDxfId="78" totalsRowDxfId="26" dataCellStyle="Verklarende tekst 2">
      <calculatedColumnFormula>J2+K2</calculatedColumnFormula>
    </tableColumn>
    <tableColumn id="10" xr3:uid="{7DDBA384-659F-4D97-8902-CE0A81F60F48}" name="totaal 2022/2023" totalsRowFunction="count" dataDxfId="77" totalsRowDxfId="25" dataCellStyle="Verklarende tekst 2"/>
    <tableColumn id="11" xr3:uid="{B93076C7-A25D-4424-8EBA-7FB005C961E2}" name="aantal" totalsRowFunction="custom" dataDxfId="76" totalsRowDxfId="24"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Eefde" totalsRowFunction="count"/>
    <tableColumn id="16" xr3:uid="{62FCFA0F-CAB6-4392-9C49-E0A1C71D0979}" name="Baarn1" totalsRowFunction="count"/>
    <tableColumn id="17" xr3:uid="{B4BFDD0B-6B0B-47B1-A747-E71B2FC9AA33}" name="Utrecht"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Normal="100" workbookViewId="0">
      <selection activeCell="J8" sqref="J8"/>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200" t="s">
        <v>765</v>
      </c>
    </row>
    <row r="5" spans="1:11" x14ac:dyDescent="0.3">
      <c r="A5" s="32" t="s">
        <v>772</v>
      </c>
      <c r="B5" s="32" t="s">
        <v>0</v>
      </c>
      <c r="C5" s="32" t="s">
        <v>767</v>
      </c>
      <c r="D5" s="32" t="s">
        <v>766</v>
      </c>
      <c r="E5" s="32" t="s">
        <v>768</v>
      </c>
      <c r="F5" s="32" t="s">
        <v>769</v>
      </c>
      <c r="G5" s="32" t="s">
        <v>770</v>
      </c>
      <c r="H5" s="32" t="s">
        <v>771</v>
      </c>
      <c r="I5" s="32" t="s">
        <v>773</v>
      </c>
      <c r="J5" s="32" t="s">
        <v>774</v>
      </c>
      <c r="K5" s="240" t="s">
        <v>50</v>
      </c>
    </row>
    <row r="6" spans="1:11" x14ac:dyDescent="0.3">
      <c r="A6" s="32" t="s">
        <v>1</v>
      </c>
      <c r="B6" s="32" t="s">
        <v>2</v>
      </c>
      <c r="C6" s="32">
        <v>2</v>
      </c>
      <c r="D6" s="32">
        <v>10</v>
      </c>
      <c r="E6" s="32">
        <v>3</v>
      </c>
      <c r="F6" s="32">
        <v>4</v>
      </c>
      <c r="G6" s="32">
        <v>6</v>
      </c>
      <c r="H6" s="32">
        <v>19</v>
      </c>
      <c r="I6" s="32">
        <f>SUM(Tabel9[[#This Row],[Floret KW]:[Degen GW]])</f>
        <v>44</v>
      </c>
      <c r="J6" s="32">
        <v>11</v>
      </c>
      <c r="K6" s="240" t="s">
        <v>790</v>
      </c>
    </row>
    <row r="7" spans="1:11" x14ac:dyDescent="0.3">
      <c r="A7" s="32" t="s">
        <v>3</v>
      </c>
      <c r="B7" s="32" t="s">
        <v>4</v>
      </c>
      <c r="C7" s="32">
        <v>8</v>
      </c>
      <c r="D7" s="32">
        <v>10</v>
      </c>
      <c r="E7" s="32">
        <v>2</v>
      </c>
      <c r="F7" s="32">
        <v>2</v>
      </c>
      <c r="G7" s="32">
        <v>6</v>
      </c>
      <c r="H7" s="32">
        <v>5</v>
      </c>
      <c r="I7" s="32">
        <f>SUM(Tabel9[[#This Row],[Floret KW]:[Degen GW]])</f>
        <v>33</v>
      </c>
      <c r="J7" s="32">
        <v>9</v>
      </c>
      <c r="K7" s="240" t="s">
        <v>790</v>
      </c>
    </row>
    <row r="8" spans="1:11" x14ac:dyDescent="0.3">
      <c r="A8" s="32" t="s">
        <v>5</v>
      </c>
      <c r="B8" s="32" t="s">
        <v>6</v>
      </c>
      <c r="I8" s="32">
        <f>SUM(Tabel9[[#This Row],[Floret KW]:[Degen GW]])</f>
        <v>0</v>
      </c>
      <c r="K8" s="240"/>
    </row>
    <row r="9" spans="1:11" x14ac:dyDescent="0.3">
      <c r="A9" s="32" t="s">
        <v>7</v>
      </c>
      <c r="B9" s="32" t="s">
        <v>8</v>
      </c>
      <c r="I9" s="32">
        <f>SUM(Tabel9[[#This Row],[Floret KW]:[Degen GW]])</f>
        <v>0</v>
      </c>
      <c r="K9" s="240"/>
    </row>
    <row r="10" spans="1:11" x14ac:dyDescent="0.3">
      <c r="A10" s="32" t="s">
        <v>9</v>
      </c>
      <c r="B10" s="32" t="s">
        <v>16</v>
      </c>
      <c r="I10" s="32">
        <f>SUM(Tabel9[[#This Row],[Floret KW]:[Degen GW]])</f>
        <v>0</v>
      </c>
      <c r="K10" s="240"/>
    </row>
    <row r="11" spans="1:11" x14ac:dyDescent="0.3">
      <c r="A11" s="32" t="s">
        <v>10</v>
      </c>
      <c r="B11" s="32" t="s">
        <v>11</v>
      </c>
      <c r="I11" s="32">
        <f>SUM(Tabel9[[#This Row],[Floret KW]:[Degen GW]])</f>
        <v>0</v>
      </c>
      <c r="K11" s="240"/>
    </row>
    <row r="12" spans="1:11" x14ac:dyDescent="0.3">
      <c r="A12" s="32" t="s">
        <v>12</v>
      </c>
      <c r="B12" s="32" t="s">
        <v>13</v>
      </c>
      <c r="I12" s="32">
        <f>SUM(Tabel9[[#This Row],[Floret KW]:[Degen GW]])</f>
        <v>0</v>
      </c>
      <c r="K12" s="240"/>
    </row>
    <row r="13" spans="1:11" x14ac:dyDescent="0.3">
      <c r="A13" s="32" t="s">
        <v>14</v>
      </c>
      <c r="B13" s="32" t="s">
        <v>11</v>
      </c>
      <c r="I13" s="32">
        <f>SUM(Tabel9[[#This Row],[Floret KW]:[Degen GW]])</f>
        <v>0</v>
      </c>
      <c r="K13" s="240"/>
    </row>
    <row r="14" spans="1:11" x14ac:dyDescent="0.3">
      <c r="A14" s="32" t="s">
        <v>15</v>
      </c>
      <c r="B14" s="32" t="s">
        <v>16</v>
      </c>
      <c r="I14" s="32">
        <f>SUM(Tabel9[[#This Row],[Floret KW]:[Degen GW]])</f>
        <v>0</v>
      </c>
      <c r="K14" s="240"/>
    </row>
    <row r="15" spans="1:11" x14ac:dyDescent="0.3">
      <c r="A15" s="32" t="s">
        <v>17</v>
      </c>
      <c r="B15" s="32" t="s">
        <v>18</v>
      </c>
      <c r="I15" s="32">
        <f>SUM(Tabel9[[#This Row],[Floret KW]:[Degen GW]])</f>
        <v>0</v>
      </c>
      <c r="K15" s="240"/>
    </row>
    <row r="16" spans="1:11" x14ac:dyDescent="0.3">
      <c r="A16" s="199" t="s">
        <v>355</v>
      </c>
      <c r="B16" s="199"/>
      <c r="C16" s="199">
        <f>SUBTOTAL(109,Tabel9[Floret KW])</f>
        <v>10</v>
      </c>
      <c r="D16" s="199">
        <f>SUBTOTAL(109,Tabel9[Floret GW])</f>
        <v>20</v>
      </c>
      <c r="E16" s="199">
        <f>SUBTOTAL(109,Tabel9[Sabel KW])</f>
        <v>5</v>
      </c>
      <c r="F16" s="199">
        <f>SUBTOTAL(109,Tabel9[Sabel GW])</f>
        <v>6</v>
      </c>
      <c r="G16" s="199">
        <f>SUBTOTAL(109,Tabel9[Degen KW])</f>
        <v>12</v>
      </c>
      <c r="H16" s="199">
        <f>SUBTOTAL(109,Tabel9[Degen GW])</f>
        <v>24</v>
      </c>
      <c r="I16" s="199">
        <f>SUBTOTAL(109,Tabel9[aantal deelnemers])</f>
        <v>77</v>
      </c>
      <c r="J16" s="199">
        <f>SUBTOTAL(109,Tabel9[aantal scheidsrechters])</f>
        <v>20</v>
      </c>
      <c r="K16" s="199"/>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R5" activePane="bottomRight" state="frozen"/>
      <selection pane="topRight" activeCell="G1" sqref="G1"/>
      <selection pane="bottomLeft" activeCell="A5" sqref="A5"/>
      <selection pane="bottomRight" activeCell="X1" sqref="X1"/>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19</v>
      </c>
      <c r="K1" s="139" t="s">
        <v>20</v>
      </c>
      <c r="L1" s="139" t="s">
        <v>21</v>
      </c>
      <c r="M1" s="139" t="s">
        <v>22</v>
      </c>
      <c r="BN1">
        <v>1</v>
      </c>
      <c r="CB1" s="169" t="s">
        <v>23</v>
      </c>
      <c r="CC1" s="165"/>
      <c r="CD1" s="165"/>
      <c r="CE1" s="165"/>
      <c r="CF1" s="165"/>
      <c r="CG1" s="165"/>
      <c r="CH1" s="165"/>
      <c r="CI1" s="165"/>
      <c r="CJ1" s="165"/>
      <c r="CK1" s="165"/>
      <c r="CL1" s="165"/>
      <c r="CM1" s="165"/>
      <c r="CN1" s="165"/>
      <c r="CO1" s="167"/>
      <c r="CP1" s="167"/>
      <c r="CQ1" s="167"/>
      <c r="CR1" s="165"/>
      <c r="CS1" s="165"/>
    </row>
    <row r="2" spans="1:97" ht="36" customHeight="1" x14ac:dyDescent="0.3">
      <c r="I2" s="139" t="s">
        <v>24</v>
      </c>
      <c r="K2" s="139" t="s">
        <v>25</v>
      </c>
      <c r="L2" s="139" t="s">
        <v>26</v>
      </c>
      <c r="M2" s="139" t="s">
        <v>27</v>
      </c>
      <c r="Y2" s="239" t="s">
        <v>789</v>
      </c>
      <c r="CB2" s="164" t="s">
        <v>28</v>
      </c>
      <c r="CC2" s="165"/>
      <c r="CD2" s="165"/>
      <c r="CE2" s="165"/>
      <c r="CF2" s="165"/>
      <c r="CG2" s="165"/>
      <c r="CH2" s="165"/>
      <c r="CI2" s="165"/>
      <c r="CJ2" s="165"/>
      <c r="CK2" s="165"/>
      <c r="CL2" s="165"/>
      <c r="CM2" s="165"/>
      <c r="CN2" s="166" t="s">
        <v>29</v>
      </c>
      <c r="CO2" s="164" t="s">
        <v>30</v>
      </c>
      <c r="CP2" s="164" t="s">
        <v>31</v>
      </c>
      <c r="CQ2" s="164" t="s">
        <v>32</v>
      </c>
      <c r="CR2" s="164" t="s">
        <v>33</v>
      </c>
      <c r="CS2" s="164" t="s">
        <v>34</v>
      </c>
    </row>
    <row r="3" spans="1:97" ht="36" customHeight="1" x14ac:dyDescent="0.3">
      <c r="I3" s="139" t="s">
        <v>35</v>
      </c>
      <c r="K3" s="139" t="s">
        <v>36</v>
      </c>
      <c r="L3" s="139" t="s">
        <v>37</v>
      </c>
      <c r="M3" s="140"/>
      <c r="N3" s="140" t="s">
        <v>38</v>
      </c>
      <c r="O3" s="140"/>
      <c r="P3" s="140"/>
      <c r="Q3" s="140"/>
      <c r="R3" s="140"/>
      <c r="S3" s="140"/>
      <c r="T3" s="140" t="s">
        <v>39</v>
      </c>
      <c r="U3" s="140"/>
      <c r="V3" s="140"/>
      <c r="W3" s="140"/>
      <c r="X3" s="140"/>
      <c r="Y3" s="140"/>
      <c r="Z3" s="140" t="s">
        <v>40</v>
      </c>
      <c r="AA3" s="140"/>
      <c r="AB3" s="140"/>
      <c r="AC3" s="140"/>
      <c r="AD3" s="140"/>
      <c r="AE3" s="140"/>
      <c r="AF3" s="140" t="s">
        <v>41</v>
      </c>
      <c r="AG3" s="140"/>
      <c r="AH3" s="140"/>
      <c r="AI3" s="140"/>
      <c r="AJ3" s="140"/>
      <c r="AK3" s="140"/>
      <c r="AL3" s="140" t="s">
        <v>42</v>
      </c>
      <c r="AM3" s="140"/>
      <c r="AN3" s="140"/>
      <c r="AO3" s="140"/>
      <c r="AP3" s="140"/>
      <c r="AQ3" s="140"/>
      <c r="AR3" s="140" t="s">
        <v>43</v>
      </c>
      <c r="AS3" s="140"/>
      <c r="AT3" s="140"/>
      <c r="AU3" s="140"/>
      <c r="AV3" s="140"/>
      <c r="AW3" s="140"/>
      <c r="AX3" s="140" t="s">
        <v>44</v>
      </c>
      <c r="AY3" s="140"/>
      <c r="AZ3" s="140"/>
      <c r="BA3" s="140"/>
      <c r="BB3" s="140"/>
      <c r="BC3" s="140"/>
      <c r="BD3" s="140" t="s">
        <v>45</v>
      </c>
      <c r="BE3" s="140"/>
      <c r="BF3" s="140"/>
      <c r="BG3" s="140"/>
      <c r="BH3" s="140"/>
      <c r="BI3" s="140"/>
      <c r="BJ3" s="140" t="s">
        <v>46</v>
      </c>
      <c r="BK3" s="140"/>
      <c r="BL3" s="140"/>
      <c r="BM3" s="140"/>
      <c r="BN3" s="140"/>
      <c r="BO3" s="140"/>
      <c r="BP3" s="140" t="s">
        <v>47</v>
      </c>
      <c r="BV3" s="152" t="s">
        <v>48</v>
      </c>
      <c r="CB3" s="168">
        <f>Tabel7[[#Totals],[punten seizoen]]</f>
        <v>0</v>
      </c>
      <c r="CC3" s="165"/>
      <c r="CD3" s="165"/>
      <c r="CE3" s="165"/>
      <c r="CF3" s="165"/>
      <c r="CG3" s="165"/>
      <c r="CH3" s="165"/>
      <c r="CI3" s="165"/>
      <c r="CJ3" s="165"/>
      <c r="CK3" s="165"/>
      <c r="CL3" s="165"/>
      <c r="CM3" s="165"/>
      <c r="CN3" s="168">
        <f>Tabel7[[#Totals],[deelname]]</f>
        <v>0</v>
      </c>
      <c r="CO3" s="168">
        <f>Tabel7[[#Totals],[1000]]</f>
        <v>3</v>
      </c>
      <c r="CP3" s="168">
        <f>Tabel7[[#Totals],[1500]]</f>
        <v>2</v>
      </c>
      <c r="CQ3" s="168">
        <f>Tabel7[[#Totals],[2000]]</f>
        <v>1</v>
      </c>
      <c r="CR3" s="168">
        <f>Tabel7[[#Totals],[2500]]</f>
        <v>3</v>
      </c>
      <c r="CS3" s="168">
        <f>Tabel7[[#Totals],[3000]]</f>
        <v>2</v>
      </c>
    </row>
    <row r="4" spans="1:97" x14ac:dyDescent="0.3">
      <c r="A4" t="s">
        <v>49</v>
      </c>
      <c r="B4" s="22" t="s">
        <v>50</v>
      </c>
      <c r="C4" s="22" t="s">
        <v>51</v>
      </c>
      <c r="D4" s="22" t="s">
        <v>52</v>
      </c>
      <c r="E4" t="s">
        <v>53</v>
      </c>
      <c r="F4" s="22" t="s">
        <v>54</v>
      </c>
      <c r="G4" t="s">
        <v>55</v>
      </c>
      <c r="H4" t="s">
        <v>56</v>
      </c>
      <c r="I4" t="s">
        <v>57</v>
      </c>
      <c r="J4" t="s">
        <v>58</v>
      </c>
      <c r="K4" t="s">
        <v>59</v>
      </c>
      <c r="L4" t="s">
        <v>60</v>
      </c>
      <c r="M4" t="s">
        <v>61</v>
      </c>
      <c r="N4" t="s">
        <v>62</v>
      </c>
      <c r="O4" t="s">
        <v>63</v>
      </c>
      <c r="P4" t="s">
        <v>64</v>
      </c>
      <c r="Q4" t="s">
        <v>65</v>
      </c>
      <c r="R4" t="s">
        <v>66</v>
      </c>
      <c r="S4" t="s">
        <v>67</v>
      </c>
      <c r="T4" t="s">
        <v>68</v>
      </c>
      <c r="U4" t="s">
        <v>69</v>
      </c>
      <c r="V4" t="s">
        <v>70</v>
      </c>
      <c r="W4" t="s">
        <v>71</v>
      </c>
      <c r="X4" t="s">
        <v>72</v>
      </c>
      <c r="Y4" t="s">
        <v>73</v>
      </c>
      <c r="Z4" t="s">
        <v>74</v>
      </c>
      <c r="AA4" t="s">
        <v>75</v>
      </c>
      <c r="AB4" t="s">
        <v>76</v>
      </c>
      <c r="AC4" t="s">
        <v>77</v>
      </c>
      <c r="AD4" t="s">
        <v>78</v>
      </c>
      <c r="AE4" t="s">
        <v>79</v>
      </c>
      <c r="AF4" t="s">
        <v>80</v>
      </c>
      <c r="AG4" t="s">
        <v>81</v>
      </c>
      <c r="AH4" t="s">
        <v>82</v>
      </c>
      <c r="AI4" t="s">
        <v>83</v>
      </c>
      <c r="AJ4" t="s">
        <v>84</v>
      </c>
      <c r="AK4" t="s">
        <v>85</v>
      </c>
      <c r="AL4" t="s">
        <v>86</v>
      </c>
      <c r="AM4" t="s">
        <v>87</v>
      </c>
      <c r="AN4" t="s">
        <v>88</v>
      </c>
      <c r="AO4" t="s">
        <v>89</v>
      </c>
      <c r="AP4" t="s">
        <v>90</v>
      </c>
      <c r="AQ4" t="s">
        <v>91</v>
      </c>
      <c r="AR4" t="s">
        <v>92</v>
      </c>
      <c r="AS4" t="s">
        <v>93</v>
      </c>
      <c r="AT4" t="s">
        <v>94</v>
      </c>
      <c r="AU4" t="s">
        <v>95</v>
      </c>
      <c r="AV4" t="s">
        <v>96</v>
      </c>
      <c r="AW4" s="148" t="s">
        <v>97</v>
      </c>
      <c r="AX4" t="s">
        <v>98</v>
      </c>
      <c r="AY4" t="s">
        <v>99</v>
      </c>
      <c r="AZ4" t="s">
        <v>100</v>
      </c>
      <c r="BA4" t="s">
        <v>101</v>
      </c>
      <c r="BB4" t="s">
        <v>102</v>
      </c>
      <c r="BC4" t="s">
        <v>103</v>
      </c>
      <c r="BD4" t="s">
        <v>104</v>
      </c>
      <c r="BE4" t="s">
        <v>105</v>
      </c>
      <c r="BF4" t="s">
        <v>106</v>
      </c>
      <c r="BG4" t="s">
        <v>107</v>
      </c>
      <c r="BH4" t="s">
        <v>108</v>
      </c>
      <c r="BI4" t="s">
        <v>109</v>
      </c>
      <c r="BJ4" t="s">
        <v>110</v>
      </c>
      <c r="BK4" t="s">
        <v>111</v>
      </c>
      <c r="BL4" t="s">
        <v>112</v>
      </c>
      <c r="BM4" t="s">
        <v>113</v>
      </c>
      <c r="BN4" t="s">
        <v>114</v>
      </c>
      <c r="BO4" t="s">
        <v>115</v>
      </c>
      <c r="BP4" t="s">
        <v>116</v>
      </c>
      <c r="BQ4" t="s">
        <v>117</v>
      </c>
      <c r="BR4" t="s">
        <v>118</v>
      </c>
      <c r="BS4" t="s">
        <v>119</v>
      </c>
      <c r="BT4" t="s">
        <v>120</v>
      </c>
      <c r="BU4" t="s">
        <v>121</v>
      </c>
      <c r="BV4" s="22" t="s">
        <v>122</v>
      </c>
      <c r="BW4" s="22" t="s">
        <v>123</v>
      </c>
      <c r="BX4" s="22" t="s">
        <v>124</v>
      </c>
      <c r="BY4" s="22" t="s">
        <v>125</v>
      </c>
      <c r="CA4" t="s">
        <v>126</v>
      </c>
      <c r="CB4" t="s">
        <v>127</v>
      </c>
      <c r="CC4" t="s">
        <v>128</v>
      </c>
      <c r="CD4" t="s">
        <v>1</v>
      </c>
      <c r="CE4" t="s">
        <v>3</v>
      </c>
      <c r="CF4" t="s">
        <v>5</v>
      </c>
      <c r="CG4" t="s">
        <v>7</v>
      </c>
      <c r="CH4" t="s">
        <v>9</v>
      </c>
      <c r="CI4" t="s">
        <v>10</v>
      </c>
      <c r="CJ4" t="s">
        <v>12</v>
      </c>
      <c r="CK4" t="s">
        <v>14</v>
      </c>
      <c r="CL4" t="s">
        <v>15</v>
      </c>
      <c r="CM4" t="s">
        <v>17</v>
      </c>
      <c r="CN4" t="s">
        <v>129</v>
      </c>
      <c r="CO4" s="22" t="s">
        <v>130</v>
      </c>
      <c r="CP4" s="22" t="s">
        <v>131</v>
      </c>
      <c r="CQ4" s="22" t="s">
        <v>132</v>
      </c>
      <c r="CR4" s="22" t="s">
        <v>133</v>
      </c>
      <c r="CS4" s="22" t="s">
        <v>134</v>
      </c>
    </row>
    <row r="5" spans="1:97" x14ac:dyDescent="0.3">
      <c r="A5" s="22" t="s">
        <v>135</v>
      </c>
      <c r="B5" s="22" t="s">
        <v>778</v>
      </c>
      <c r="D5" s="22" t="s">
        <v>783</v>
      </c>
      <c r="E5" t="s">
        <v>138</v>
      </c>
      <c r="F5" s="22">
        <v>116326</v>
      </c>
      <c r="G5" s="25" t="s">
        <v>139</v>
      </c>
      <c r="H5" s="142">
        <f>Tabel2[[#This Row],[pnt t/m 2021/22]]+Tabel2[[#This Row],[pnt 2022/2023]]</f>
        <v>2897.2539682539682</v>
      </c>
      <c r="I5">
        <v>2008</v>
      </c>
      <c r="J5">
        <v>2023</v>
      </c>
      <c r="K5" s="24">
        <f>Tabel2[[#This Row],[ijkdatum]]-Tabel2[[#This Row],[Geboren]]</f>
        <v>15</v>
      </c>
      <c r="L5" s="26">
        <f>Tabel2[[#This Row],[TTL 1]]+Tabel2[[#This Row],[TTL 2]]+Tabel2[[#This Row],[TTL 3]]+Tabel2[[#This Row],[TTL 4]]+Tabel2[[#This Row],[TTL 5]]+Tabel2[[#This Row],[TTL 6]]+Tabel2[[#This Row],[TTL 7]]+Tabel2[[#This Row],[TTL 8]]+Tabel2[[#This Row],[TTL 9]]+Tabel2[[#This Row],[TTL 10]]</f>
        <v>61</v>
      </c>
      <c r="M5" s="157">
        <v>2836.2539682539682</v>
      </c>
      <c r="N5">
        <v>1</v>
      </c>
      <c r="O5">
        <v>10</v>
      </c>
      <c r="P5">
        <v>3</v>
      </c>
      <c r="Q5">
        <v>31</v>
      </c>
      <c r="S5" s="23">
        <f>SUM(Tabel2[[#This Row],[V 1]]*10+Tabel2[[#This Row],[GT 1]])/Tabel2[[#This Row],[AW 1]]*10+Tabel2[[#This Row],[BONUS 1]]</f>
        <v>61</v>
      </c>
      <c r="U5">
        <v>1</v>
      </c>
      <c r="Y5" s="23">
        <f>SUM(Tabel2[[#This Row],[V 2]]*10+Tabel2[[#This Row],[GT 2]])/Tabel2[[#This Row],[AW 2]]*10+Tabel2[[#This Row],[BONUS 2]]</f>
        <v>0</v>
      </c>
      <c r="AA5">
        <v>1</v>
      </c>
      <c r="AE5" s="23">
        <f>SUM(Tabel2[[#This Row],[V 3]]*10+Tabel2[[#This Row],[GT 3]])/Tabel2[[#This Row],[AW 3]]*10+Tabel2[[#This Row],[BONUS 3]]</f>
        <v>0</v>
      </c>
      <c r="AG5">
        <v>1</v>
      </c>
      <c r="AK5" s="23">
        <f>SUM(Tabel2[[#This Row],[V 4]]*10+Tabel2[[#This Row],[GT 4]])/Tabel2[[#This Row],[AW 4]]*10+Tabel2[[#This Row],[BONUS 4]]</f>
        <v>0</v>
      </c>
      <c r="AM5">
        <v>1</v>
      </c>
      <c r="AQ5" s="23">
        <f>SUM(Tabel2[[#This Row],[V 5]]*10+Tabel2[[#This Row],[GT 5]])/Tabel2[[#This Row],[AW 5]]*10+Tabel2[[#This Row],[BONUS 5]]</f>
        <v>0</v>
      </c>
      <c r="AS5">
        <v>1</v>
      </c>
      <c r="AW5" s="23">
        <f>SUM(Tabel2[[#This Row],[V 6]]*10+Tabel2[[#This Row],[GT 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5" s="22">
        <v>2500</v>
      </c>
      <c r="BX5" s="30">
        <f>Tabel2[[#This Row],[Diploma]]-Tabel2[[#This Row],[Uitgeschreven]]</f>
        <v>0</v>
      </c>
      <c r="BY5" s="2" t="str">
        <f t="shared" ref="BY5:BY68" si="0">IF(BX5=0,"geen actie",CONCATENATE("diploma uitschrijven: ",BV5," punten"))</f>
        <v>geen actie</v>
      </c>
      <c r="CA5" s="150">
        <f>Tabel2[[#This Row],[pnt t/m 2021/22]]</f>
        <v>2836.2539682539682</v>
      </c>
      <c r="CB5" s="150">
        <f>Tabel2[[#This Row],[pnt 2022/2023]]</f>
        <v>61</v>
      </c>
      <c r="CC5" s="150">
        <f>CA5+CB5</f>
        <v>2897.2539682539682</v>
      </c>
      <c r="CD5" s="150">
        <f>IF(Tabel2[[#This Row],[LPR 1]]&gt;0,1,0)</f>
        <v>1</v>
      </c>
      <c r="CE5" s="150">
        <f>IF(Tabel2[[#This Row],[LPR 2]]&gt;0,1,0)</f>
        <v>0</v>
      </c>
      <c r="CF5" s="150">
        <f>IF(Tabel2[[#This Row],[LPR 3]]&gt;0,1,0)</f>
        <v>0</v>
      </c>
      <c r="CG5" s="150">
        <f>IF(Tabel2[[#This Row],[LPR 4]]&gt;0,1,0)</f>
        <v>0</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1</v>
      </c>
      <c r="CO5" s="22" t="str">
        <f>IF(AND($CA5&lt;1000,$CC5&gt;1000),"x","")</f>
        <v/>
      </c>
      <c r="CP5" s="22" t="str">
        <f>IF(AND($CA5&lt;1500,$CC5&gt;1500),"x","")</f>
        <v/>
      </c>
      <c r="CQ5" s="22" t="str">
        <f>IF(AND($CA5&lt;2000,$CC5&gt;2000),"x","")</f>
        <v/>
      </c>
      <c r="CR5" s="22" t="str">
        <f>IF(AND($CA5&lt;2500,$CC5&gt;2500),"x","")</f>
        <v/>
      </c>
      <c r="CS5" s="22" t="str">
        <f>IF(AND($CA5&lt;3000,$CC5&gt;3000),"x","")</f>
        <v/>
      </c>
    </row>
    <row r="6" spans="1:97" ht="15.6" x14ac:dyDescent="0.3">
      <c r="A6" s="22" t="s">
        <v>140</v>
      </c>
      <c r="B6" s="22" t="s">
        <v>778</v>
      </c>
      <c r="D6" s="22" t="s">
        <v>783</v>
      </c>
      <c r="E6" s="149" t="s">
        <v>141</v>
      </c>
      <c r="F6" s="22">
        <v>120288</v>
      </c>
      <c r="G6" s="25" t="s">
        <v>142</v>
      </c>
      <c r="H6" s="142">
        <f>Tabel2[[#This Row],[pnt t/m 2021/22]]+Tabel2[[#This Row],[pnt 2022/2023]]</f>
        <v>777.165750915751</v>
      </c>
      <c r="I6">
        <v>2012</v>
      </c>
      <c r="J6">
        <v>2022</v>
      </c>
      <c r="K6" s="24">
        <f>Tabel2[[#This Row],[ijkdatum]]-Tabel2[[#This Row],[Geboren]]</f>
        <v>10</v>
      </c>
      <c r="L6" s="26">
        <f>Tabel2[[#This Row],[TTL 1]]+Tabel2[[#This Row],[TTL 2]]+Tabel2[[#This Row],[TTL 3]]+Tabel2[[#This Row],[TTL 4]]+Tabel2[[#This Row],[TTL 5]]+Tabel2[[#This Row],[TTL 6]]+Tabel2[[#This Row],[TTL 7]]+Tabel2[[#This Row],[TTL 8]]+Tabel2[[#This Row],[TTL 9]]+Tabel2[[#This Row],[TTL 10]]</f>
        <v>235.53571428571428</v>
      </c>
      <c r="M6" s="141">
        <v>541.63003663003667</v>
      </c>
      <c r="N6">
        <v>6</v>
      </c>
      <c r="O6">
        <v>8</v>
      </c>
      <c r="P6">
        <v>2</v>
      </c>
      <c r="Q6">
        <v>29</v>
      </c>
      <c r="R6">
        <v>100</v>
      </c>
      <c r="S6" s="23">
        <f>SUM(Tabel2[[#This Row],[V 1]]*10+Tabel2[[#This Row],[GT 1]])/Tabel2[[#This Row],[AW 1]]*10+Tabel2[[#This Row],[BONUS 1]]</f>
        <v>161.25</v>
      </c>
      <c r="T6">
        <v>7</v>
      </c>
      <c r="U6">
        <v>7</v>
      </c>
      <c r="V6">
        <v>3</v>
      </c>
      <c r="W6">
        <v>22</v>
      </c>
      <c r="Y6" s="23">
        <f>SUM(Tabel2[[#This Row],[V 2]]*10+Tabel2[[#This Row],[GT 2]])/Tabel2[[#This Row],[AW 2]]*10+Tabel2[[#This Row],[BONUS 2]]</f>
        <v>74.285714285714292</v>
      </c>
      <c r="AA6">
        <v>1</v>
      </c>
      <c r="AE6" s="23">
        <f>SUM(Tabel2[[#This Row],[V 3]]*10+Tabel2[[#This Row],[GT 3]])/Tabel2[[#This Row],[AW 3]]*10+Tabel2[[#This Row],[BONUS 3]]</f>
        <v>0</v>
      </c>
      <c r="AG6">
        <v>1</v>
      </c>
      <c r="AK6" s="23">
        <f>SUM(Tabel2[[#This Row],[V 4]]*10+Tabel2[[#This Row],[GT 4]])/Tabel2[[#This Row],[AW 4]]*10+Tabel2[[#This Row],[BONUS 4]]</f>
        <v>0</v>
      </c>
      <c r="AM6">
        <v>1</v>
      </c>
      <c r="AQ6" s="23">
        <f>SUM(Tabel2[[#This Row],[V 5]]*10+Tabel2[[#This Row],[GT 5]])/Tabel2[[#This Row],[AW 5]]*10+Tabel2[[#This Row],[BONUS 5]]</f>
        <v>0</v>
      </c>
      <c r="AS6">
        <v>1</v>
      </c>
      <c r="AW6" s="23">
        <f>SUM(Tabel2[[#This Row],[V 6]]*10+Tabel2[[#This Row],[GT 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 s="22">
        <v>500</v>
      </c>
      <c r="BX6" s="30">
        <f>Tabel2[[#This Row],[Diploma]]-Tabel2[[#This Row],[Uitgeschreven]]</f>
        <v>250</v>
      </c>
      <c r="BY6" s="2" t="str">
        <f>IF(BX6=0,"geen actie",CONCATENATE("diploma uitschrijven: ",BV6," punten"))</f>
        <v>diploma uitschrijven: 750 punten</v>
      </c>
      <c r="CA6" s="150">
        <f>Tabel2[[#This Row],[pnt t/m 2021/22]]</f>
        <v>541.63003663003667</v>
      </c>
      <c r="CB6" s="150">
        <f>Tabel2[[#This Row],[pnt 2022/2023]]</f>
        <v>235.53571428571428</v>
      </c>
      <c r="CC6" s="150">
        <f>CA6+CB6</f>
        <v>777.165750915751</v>
      </c>
      <c r="CD6" s="150">
        <f>IF(Tabel2[[#This Row],[LPR 1]]&gt;0,1,0)</f>
        <v>1</v>
      </c>
      <c r="CE6" s="150">
        <f>IF(Tabel2[[#This Row],[LPR 2]]&gt;0,1,0)</f>
        <v>1</v>
      </c>
      <c r="CF6" s="150">
        <f>IF(Tabel2[[#This Row],[LPR 3]]&gt;0,1,0)</f>
        <v>0</v>
      </c>
      <c r="CG6" s="150">
        <f>IF(Tabel2[[#This Row],[LPR 4]]&gt;0,1,0)</f>
        <v>0</v>
      </c>
      <c r="CH6" s="150">
        <f>IF(Tabel2[[#This Row],[LPR 5]]&gt;0,1,0)</f>
        <v>0</v>
      </c>
      <c r="CI6" s="150">
        <f>IF(Tabel2[[#This Row],[LPR 6]]&gt;0,1,0)</f>
        <v>0</v>
      </c>
      <c r="CJ6" s="150">
        <f>IF(Tabel2[[#This Row],[LPR 7]]&gt;0,1,0)</f>
        <v>0</v>
      </c>
      <c r="CK6" s="150">
        <f>IF(Tabel2[[#This Row],[LPR 8]]&gt;0,1,0)</f>
        <v>0</v>
      </c>
      <c r="CL6" s="150">
        <f>IF(Tabel2[[#This Row],[LPR 9]]&gt;0,1,0)</f>
        <v>0</v>
      </c>
      <c r="CM6" s="150">
        <f>IF(Tabel2[[#This Row],[LPR 10]]&gt;0,1,0)</f>
        <v>0</v>
      </c>
      <c r="CN6" s="150">
        <f>SUM(Tabel7[[#This Row],[sep]:[jun]])</f>
        <v>2</v>
      </c>
      <c r="CO6" s="22" t="str">
        <f t="shared" ref="CO6:CO69" si="1">IF(AND($CA6&lt;1000,$CC6&gt;1000),"x","")</f>
        <v/>
      </c>
      <c r="CP6" s="22" t="str">
        <f t="shared" ref="CP6:CP69" si="2">IF(AND($CA6&lt;1500,$CC6&gt;1500),"x","")</f>
        <v/>
      </c>
      <c r="CQ6" s="22" t="str">
        <f t="shared" ref="CQ6:CQ69" si="3">IF(AND($CA6&lt;2000,$CC6&gt;2000),"x","")</f>
        <v/>
      </c>
      <c r="CR6" s="22" t="str">
        <f t="shared" ref="CR6:CR69" si="4">IF(AND($CA6&lt;2500,$CC6&gt;2500),"x","")</f>
        <v/>
      </c>
      <c r="CS6" s="22" t="str">
        <f t="shared" ref="CS6:CS69" si="5">IF(AND($CA6&lt;3000,$CC6&gt;3000),"x","")</f>
        <v/>
      </c>
    </row>
    <row r="7" spans="1:97" x14ac:dyDescent="0.3">
      <c r="A7" s="22" t="s">
        <v>143</v>
      </c>
      <c r="B7" s="22" t="s">
        <v>779</v>
      </c>
      <c r="D7" s="22" t="s">
        <v>137</v>
      </c>
      <c r="E7" t="s">
        <v>144</v>
      </c>
      <c r="F7" s="22">
        <v>120284</v>
      </c>
      <c r="G7" s="25" t="s">
        <v>142</v>
      </c>
      <c r="H7" s="142">
        <f>Tabel2[[#This Row],[pnt t/m 2021/22]]+Tabel2[[#This Row],[pnt 2022/2023]]</f>
        <v>326.59451659451656</v>
      </c>
      <c r="I7">
        <v>2009</v>
      </c>
      <c r="J7">
        <v>2022</v>
      </c>
      <c r="K7" s="24">
        <f>Tabel2[[#This Row],[ijkdatum]]-Tabel2[[#This Row],[Geboren]]</f>
        <v>13</v>
      </c>
      <c r="L7" s="26">
        <f>Tabel2[[#This Row],[TTL 1]]+Tabel2[[#This Row],[TTL 2]]+Tabel2[[#This Row],[TTL 3]]+Tabel2[[#This Row],[TTL 4]]+Tabel2[[#This Row],[TTL 5]]+Tabel2[[#This Row],[TTL 6]]+Tabel2[[#This Row],[TTL 7]]+Tabel2[[#This Row],[TTL 8]]+Tabel2[[#This Row],[TTL 9]]+Tabel2[[#This Row],[TTL 10]]</f>
        <v>138.18181818181819</v>
      </c>
      <c r="M7" s="141">
        <v>188.4126984126984</v>
      </c>
      <c r="O7">
        <v>1</v>
      </c>
      <c r="S7" s="23">
        <f>SUM(Tabel2[[#This Row],[V 1]]*10+Tabel2[[#This Row],[GT 1]])/Tabel2[[#This Row],[AW 1]]*10+Tabel2[[#This Row],[BONUS 1]]</f>
        <v>0</v>
      </c>
      <c r="T7">
        <v>5</v>
      </c>
      <c r="U7">
        <v>11</v>
      </c>
      <c r="V7">
        <v>10</v>
      </c>
      <c r="W7">
        <v>52</v>
      </c>
      <c r="Y7" s="23">
        <f>SUM(Tabel2[[#This Row],[V 2]]*10+Tabel2[[#This Row],[GT 2]])/Tabel2[[#This Row],[AW 2]]*10+Tabel2[[#This Row],[BONUS 2]]</f>
        <v>138.18181818181819</v>
      </c>
      <c r="AA7">
        <v>1</v>
      </c>
      <c r="AE7" s="23">
        <f>SUM(Tabel2[[#This Row],[V 3]]*10+Tabel2[[#This Row],[GT 3]])/Tabel2[[#This Row],[AW 3]]*10+Tabel2[[#This Row],[BONUS 3]]</f>
        <v>0</v>
      </c>
      <c r="AG7">
        <v>1</v>
      </c>
      <c r="AK7" s="23">
        <f>SUM(Tabel2[[#This Row],[V 4]]*10+Tabel2[[#This Row],[GT 4]])/Tabel2[[#This Row],[AW 4]]*10+Tabel2[[#This Row],[BONUS 4]]</f>
        <v>0</v>
      </c>
      <c r="AM7">
        <v>1</v>
      </c>
      <c r="AQ7" s="23">
        <f>SUM(Tabel2[[#This Row],[V 5]]*10+Tabel2[[#This Row],[GT 5]])/Tabel2[[#This Row],[AW 5]]*10+Tabel2[[#This Row],[BONUS 5]]</f>
        <v>0</v>
      </c>
      <c r="AS7">
        <v>1</v>
      </c>
      <c r="AW7" s="23">
        <f>SUM(Tabel2[[#This Row],[V 6]]*10+Tabel2[[#This Row],[GT 6]])/Tabel2[[#This Row],[AW 6]]*10+Tabel2[[#This Row],[BONUS 6]]</f>
        <v>0</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 s="22">
        <v>0</v>
      </c>
      <c r="BX7" s="30">
        <f>Tabel2[[#This Row],[Diploma]]-Tabel2[[#This Row],[Uitgeschreven]]</f>
        <v>250</v>
      </c>
      <c r="BY7" s="2" t="str">
        <f>IF(BX7=0,"geen actie",CONCATENATE("diploma uitschrijven: ",BV7," punten"))</f>
        <v>diploma uitschrijven: 250 punten</v>
      </c>
      <c r="CA7" s="150">
        <f>Tabel2[[#This Row],[pnt t/m 2021/22]]</f>
        <v>188.4126984126984</v>
      </c>
      <c r="CB7" s="150">
        <f>Tabel2[[#This Row],[pnt 2022/2023]]</f>
        <v>138.18181818181819</v>
      </c>
      <c r="CC7" s="150">
        <f t="shared" ref="CC7:CC70" si="6">CA7+CB7</f>
        <v>326.59451659451656</v>
      </c>
      <c r="CD7" s="150">
        <f>IF(Tabel2[[#This Row],[LPR 1]]&gt;0,1,0)</f>
        <v>0</v>
      </c>
      <c r="CE7" s="150">
        <f>IF(Tabel2[[#This Row],[LPR 2]]&gt;0,1,0)</f>
        <v>1</v>
      </c>
      <c r="CF7" s="150">
        <f>IF(Tabel2[[#This Row],[LPR 3]]&gt;0,1,0)</f>
        <v>0</v>
      </c>
      <c r="CG7" s="150">
        <f>IF(Tabel2[[#This Row],[LPR 4]]&gt;0,1,0)</f>
        <v>0</v>
      </c>
      <c r="CH7" s="150">
        <f>IF(Tabel2[[#This Row],[LPR 5]]&gt;0,1,0)</f>
        <v>0</v>
      </c>
      <c r="CI7" s="150">
        <f>IF(Tabel2[[#This Row],[LPR 6]]&gt;0,1,0)</f>
        <v>0</v>
      </c>
      <c r="CJ7" s="150">
        <f>IF(Tabel2[[#This Row],[LPR 7]]&gt;0,1,0)</f>
        <v>0</v>
      </c>
      <c r="CK7" s="150">
        <f>IF(Tabel2[[#This Row],[LPR 8]]&gt;0,1,0)</f>
        <v>0</v>
      </c>
      <c r="CL7" s="150">
        <f>IF(Tabel2[[#This Row],[LPR 9]]&gt;0,1,0)</f>
        <v>0</v>
      </c>
      <c r="CM7" s="150">
        <f>IF(Tabel2[[#This Row],[LPR 10]]&gt;0,1,0)</f>
        <v>0</v>
      </c>
      <c r="CN7" s="150">
        <f>SUM(Tabel7[[#This Row],[sep]:[jun]])</f>
        <v>1</v>
      </c>
      <c r="CO7" s="22" t="str">
        <f t="shared" si="1"/>
        <v/>
      </c>
      <c r="CP7" s="22" t="str">
        <f t="shared" si="2"/>
        <v/>
      </c>
      <c r="CQ7" s="22" t="str">
        <f t="shared" si="3"/>
        <v/>
      </c>
      <c r="CR7" s="22" t="str">
        <f t="shared" si="4"/>
        <v/>
      </c>
      <c r="CS7" s="22" t="str">
        <f t="shared" si="5"/>
        <v/>
      </c>
    </row>
    <row r="8" spans="1:97" x14ac:dyDescent="0.3">
      <c r="A8" s="22" t="s">
        <v>145</v>
      </c>
      <c r="B8" s="22" t="s">
        <v>778</v>
      </c>
      <c r="D8" s="22" t="s">
        <v>137</v>
      </c>
      <c r="E8" t="s">
        <v>146</v>
      </c>
      <c r="F8" s="22">
        <v>116674</v>
      </c>
      <c r="G8" s="25" t="s">
        <v>147</v>
      </c>
      <c r="H8" s="142">
        <f>Tabel2[[#This Row],[pnt t/m 2021/22]]+Tabel2[[#This Row],[pnt 2022/2023]]</f>
        <v>630.16666666666663</v>
      </c>
      <c r="I8">
        <v>2005</v>
      </c>
      <c r="J8">
        <v>2022</v>
      </c>
      <c r="K8" s="24">
        <f>Tabel2[[#This Row],[ijkdatum]]-Tabel2[[#This Row],[Geboren]]</f>
        <v>17</v>
      </c>
      <c r="L8" s="26">
        <f>Tabel2[[#This Row],[TTL 1]]+Tabel2[[#This Row],[TTL 2]]+Tabel2[[#This Row],[TTL 3]]+Tabel2[[#This Row],[TTL 4]]+Tabel2[[#This Row],[TTL 5]]+Tabel2[[#This Row],[TTL 6]]+Tabel2[[#This Row],[TTL 7]]+Tabel2[[#This Row],[TTL 8]]+Tabel2[[#This Row],[TTL 9]]+Tabel2[[#This Row],[TTL 10]]</f>
        <v>130</v>
      </c>
      <c r="M8" s="141">
        <v>500.16666666666663</v>
      </c>
      <c r="O8">
        <v>1</v>
      </c>
      <c r="S8" s="23">
        <f>SUM(Tabel2[[#This Row],[V 1]]*10+Tabel2[[#This Row],[GT 1]])/Tabel2[[#This Row],[AW 1]]*10+Tabel2[[#This Row],[BONUS 1]]</f>
        <v>0</v>
      </c>
      <c r="T8">
        <v>7</v>
      </c>
      <c r="U8">
        <v>12</v>
      </c>
      <c r="V8">
        <v>10</v>
      </c>
      <c r="W8">
        <v>112</v>
      </c>
      <c r="Y8" s="23">
        <f>SUM(Tabel2[[#This Row],[V 2]]*10+(Tabel2[[#This Row],[GT 2]]/2))/Tabel2[[#This Row],[AW 2]]*10+Tabel2[[#This Row],[BONUS 2]]</f>
        <v>130</v>
      </c>
      <c r="AA8">
        <v>1</v>
      </c>
      <c r="AE8" s="23">
        <f>SUM(Tabel2[[#This Row],[V 3]]*10+Tabel2[[#This Row],[GT 3]])/Tabel2[[#This Row],[AW 3]]*10+Tabel2[[#This Row],[BONUS 3]]</f>
        <v>0</v>
      </c>
      <c r="AG8">
        <v>1</v>
      </c>
      <c r="AK8" s="23">
        <f>SUM(Tabel2[[#This Row],[V 4]]*10+Tabel2[[#This Row],[GT 4]])/Tabel2[[#This Row],[AW 4]]*10+Tabel2[[#This Row],[BONUS 4]]</f>
        <v>0</v>
      </c>
      <c r="AM8">
        <v>1</v>
      </c>
      <c r="AQ8" s="23">
        <f>SUM(Tabel2[[#This Row],[V 5]]*10+Tabel2[[#This Row],[GT 5]])/Tabel2[[#This Row],[AW 5]]*10+Tabel2[[#This Row],[BONUS 5]]</f>
        <v>0</v>
      </c>
      <c r="AS8">
        <v>1</v>
      </c>
      <c r="AW8" s="23">
        <f>SUM(Tabel2[[#This Row],[V 6]]*10+Tabel2[[#This Row],[GT 6]])/Tabel2[[#This Row],[AW 6]]*10+Tabel2[[#This Row],[BONUS 6]]</f>
        <v>0</v>
      </c>
      <c r="AY8">
        <v>1</v>
      </c>
      <c r="BC8" s="23">
        <f>SUM(Tabel2[[#This Row],[V 7]]*10+Tabel2[[#This Row],[GT 7]])/Tabel2[[#This Row],[AW 7]]*10+Tabel2[[#This Row],[BONUS 7]]</f>
        <v>0</v>
      </c>
      <c r="BE8">
        <v>1</v>
      </c>
      <c r="BI8" s="23">
        <f>SUM(Tabel2[[#This Row],[V 8]]*10+Tabel2[[#This Row],[GT 8]])/Tabel2[[#This Row],[AW 8]]*10+Tabel2[[#This Row],[BONUS 8]]</f>
        <v>0</v>
      </c>
      <c r="BK8">
        <v>1</v>
      </c>
      <c r="BO8" s="23">
        <f>SUM(Tabel2[[#This Row],[V 9]]*10+Tabel2[[#This Row],[GT 9]])/Tabel2[[#This Row],[AW 9]]*10+Tabel2[[#This Row],[BONUS 9]]</f>
        <v>0</v>
      </c>
      <c r="BQ8">
        <v>1</v>
      </c>
      <c r="BU8" s="23">
        <f>SUM(Tabel2[[#This Row],[V 10]]*10+Tabel2[[#This Row],[GT 10]])/Tabel2[[#This Row],[AW 10]]*10+Tabel2[[#This Row],[BONUS 10]]</f>
        <v>0</v>
      </c>
      <c r="BV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 s="22">
        <v>500</v>
      </c>
      <c r="BX8" s="30">
        <f>Tabel2[[#This Row],[Diploma]]-Tabel2[[#This Row],[Uitgeschreven]]</f>
        <v>0</v>
      </c>
      <c r="BY8" s="2" t="str">
        <f>IF(BX8=0,"geen actie",CONCATENATE("diploma uitschrijven: ",BV8," punten"))</f>
        <v>geen actie</v>
      </c>
      <c r="CA8" s="150">
        <f>Tabel2[[#This Row],[pnt t/m 2021/22]]</f>
        <v>500.16666666666663</v>
      </c>
      <c r="CB8" s="150">
        <f>Tabel2[[#This Row],[pnt 2022/2023]]</f>
        <v>130</v>
      </c>
      <c r="CC8" s="150">
        <f t="shared" si="6"/>
        <v>630.16666666666663</v>
      </c>
      <c r="CD8" s="150">
        <f>IF(Tabel2[[#This Row],[LPR 1]]&gt;0,1,0)</f>
        <v>0</v>
      </c>
      <c r="CE8" s="150">
        <f>IF(Tabel2[[#This Row],[LPR 2]]&gt;0,1,0)</f>
        <v>1</v>
      </c>
      <c r="CF8" s="150">
        <f>IF(Tabel2[[#This Row],[LPR 3]]&gt;0,1,0)</f>
        <v>0</v>
      </c>
      <c r="CG8" s="150">
        <f>IF(Tabel2[[#This Row],[LPR 4]]&gt;0,1,0)</f>
        <v>0</v>
      </c>
      <c r="CH8" s="150">
        <f>IF(Tabel2[[#This Row],[LPR 5]]&gt;0,1,0)</f>
        <v>0</v>
      </c>
      <c r="CI8" s="150">
        <f>IF(Tabel2[[#This Row],[LPR 6]]&gt;0,1,0)</f>
        <v>0</v>
      </c>
      <c r="CJ8" s="150">
        <f>IF(Tabel2[[#This Row],[LPR 7]]&gt;0,1,0)</f>
        <v>0</v>
      </c>
      <c r="CK8" s="150">
        <f>IF(Tabel2[[#This Row],[LPR 8]]&gt;0,1,0)</f>
        <v>0</v>
      </c>
      <c r="CL8" s="150">
        <f>IF(Tabel2[[#This Row],[LPR 9]]&gt;0,1,0)</f>
        <v>0</v>
      </c>
      <c r="CM8" s="150">
        <f>IF(Tabel2[[#This Row],[LPR 10]]&gt;0,1,0)</f>
        <v>0</v>
      </c>
      <c r="CN8" s="150">
        <f>SUM(Tabel7[[#This Row],[sep]:[jun]])</f>
        <v>1</v>
      </c>
      <c r="CO8" s="22" t="str">
        <f t="shared" si="1"/>
        <v/>
      </c>
      <c r="CP8" s="22" t="str">
        <f t="shared" si="2"/>
        <v/>
      </c>
      <c r="CQ8" s="22" t="str">
        <f t="shared" si="3"/>
        <v/>
      </c>
      <c r="CR8" s="22" t="str">
        <f t="shared" si="4"/>
        <v/>
      </c>
      <c r="CS8" s="22" t="str">
        <f t="shared" si="5"/>
        <v/>
      </c>
    </row>
    <row r="9" spans="1:97" x14ac:dyDescent="0.3">
      <c r="A9" s="22" t="s">
        <v>135</v>
      </c>
      <c r="B9" s="22" t="s">
        <v>778</v>
      </c>
      <c r="D9" s="22" t="s">
        <v>137</v>
      </c>
      <c r="E9" t="s">
        <v>761</v>
      </c>
      <c r="F9" s="22">
        <v>120333</v>
      </c>
      <c r="G9" s="25" t="s">
        <v>228</v>
      </c>
      <c r="H9" s="23">
        <f>Tabel2[[#This Row],[pnt t/m 2021/22]]+Tabel2[[#This Row],[pnt 2022/2023]]</f>
        <v>88.75</v>
      </c>
      <c r="I9">
        <v>2008</v>
      </c>
      <c r="J9">
        <v>2022</v>
      </c>
      <c r="K9" s="24">
        <f>Tabel2[[#This Row],[ijkdatum]]-Tabel2[[#This Row],[Geboren]]</f>
        <v>14</v>
      </c>
      <c r="L9" s="26">
        <f>Tabel2[[#This Row],[TTL 1]]+Tabel2[[#This Row],[TTL 2]]+Tabel2[[#This Row],[TTL 3]]+Tabel2[[#This Row],[TTL 4]]+Tabel2[[#This Row],[TTL 5]]+Tabel2[[#This Row],[TTL 6]]+Tabel2[[#This Row],[TTL 7]]+Tabel2[[#This Row],[TTL 8]]+Tabel2[[#This Row],[TTL 9]]+Tabel2[[#This Row],[TTL 10]]</f>
        <v>0</v>
      </c>
      <c r="M9" s="153">
        <v>88.75</v>
      </c>
      <c r="O9">
        <v>1</v>
      </c>
      <c r="S9" s="153">
        <f>SUM(Tabel2[[#This Row],[V 1]]*10+Tabel2[[#This Row],[GT 1]])/Tabel2[[#This Row],[AW 1]]*10+Tabel2[[#This Row],[BONUS 1]]</f>
        <v>0</v>
      </c>
      <c r="U9">
        <v>1</v>
      </c>
      <c r="Y9" s="153">
        <f>SUM(Tabel2[[#This Row],[V 2]]*10+Tabel2[[#This Row],[GT 2]])/Tabel2[[#This Row],[AW 2]]*10+Tabel2[[#This Row],[BONUS 2]]</f>
        <v>0</v>
      </c>
      <c r="AA9">
        <v>1</v>
      </c>
      <c r="AE9" s="153">
        <f>SUM(Tabel2[[#This Row],[V 3]]*10+Tabel2[[#This Row],[GT 3]])/Tabel2[[#This Row],[AW 3]]*10+Tabel2[[#This Row],[BONUS 3]]</f>
        <v>0</v>
      </c>
      <c r="AG9">
        <v>1</v>
      </c>
      <c r="AK9" s="153">
        <f>SUM(Tabel2[[#This Row],[V 4]]*10+Tabel2[[#This Row],[GT 4]])/Tabel2[[#This Row],[AW 4]]*10+Tabel2[[#This Row],[BONUS 4]]</f>
        <v>0</v>
      </c>
      <c r="AM9">
        <v>1</v>
      </c>
      <c r="AQ9" s="153">
        <f>SUM(Tabel2[[#This Row],[V 5]]*10+Tabel2[[#This Row],[GT 5]])/Tabel2[[#This Row],[AW 5]]*10+Tabel2[[#This Row],[BONUS 5]]</f>
        <v>0</v>
      </c>
      <c r="AS9">
        <v>1</v>
      </c>
      <c r="AW9" s="153">
        <f>SUM(Tabel2[[#This Row],[V 6]]*10+Tabel2[[#This Row],[GT 6]])/Tabel2[[#This Row],[AW 6]]*10+Tabel2[[#This Row],[BONUS 6]]</f>
        <v>0</v>
      </c>
      <c r="AY9">
        <v>1</v>
      </c>
      <c r="BC9" s="153">
        <f>SUM(Tabel2[[#This Row],[V 7]]*10+Tabel2[[#This Row],[GT 7]])/Tabel2[[#This Row],[AW 7]]*10+Tabel2[[#This Row],[BONUS 7]]</f>
        <v>0</v>
      </c>
      <c r="BE9">
        <v>1</v>
      </c>
      <c r="BI9" s="153">
        <f>SUM(Tabel2[[#This Row],[V 8]]*10+Tabel2[[#This Row],[GT 8]])/Tabel2[[#This Row],[AW 8]]*10+Tabel2[[#This Row],[BONUS 8]]</f>
        <v>0</v>
      </c>
      <c r="BK9">
        <v>1</v>
      </c>
      <c r="BO9" s="153">
        <f>SUM(Tabel2[[#This Row],[V 9]]*10+Tabel2[[#This Row],[GT 9]])/Tabel2[[#This Row],[AW 9]]*10+Tabel2[[#This Row],[BONUS 9]]</f>
        <v>0</v>
      </c>
      <c r="BQ9">
        <v>1</v>
      </c>
      <c r="BU9" s="23">
        <f>SUM(Tabel2[[#This Row],[V 10]]*10+Tabel2[[#This Row],[GT 10]])/Tabel2[[#This Row],[AW 10]]*10+Tabel2[[#This Row],[BONUS 10]]</f>
        <v>0</v>
      </c>
      <c r="BV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 s="22">
        <v>0</v>
      </c>
      <c r="BX9" s="22">
        <f>Tabel2[[#This Row],[Diploma]]-Tabel2[[#This Row],[Uitgeschreven]]</f>
        <v>0</v>
      </c>
      <c r="BY9" s="155" t="str">
        <f>IF(BX9=0,"geen actie",CONCATENATE("diploma uitschrijven: ",BV9," punten"))</f>
        <v>geen actie</v>
      </c>
      <c r="CA9" s="150">
        <f>Tabel2[[#This Row],[pnt t/m 2021/22]]</f>
        <v>88.75</v>
      </c>
      <c r="CB9" s="150">
        <f>Tabel2[[#This Row],[pnt 2022/2023]]</f>
        <v>0</v>
      </c>
      <c r="CC9" s="150">
        <f t="shared" si="6"/>
        <v>88.75</v>
      </c>
      <c r="CD9" s="150">
        <f>IF(Tabel2[[#This Row],[LPR 1]]&gt;0,1,0)</f>
        <v>0</v>
      </c>
      <c r="CE9" s="150">
        <f>IF(Tabel2[[#This Row],[LPR 2]]&gt;0,1,0)</f>
        <v>0</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0</v>
      </c>
      <c r="CO9" s="22" t="str">
        <f t="shared" si="1"/>
        <v/>
      </c>
      <c r="CP9" s="22" t="str">
        <f t="shared" si="2"/>
        <v/>
      </c>
      <c r="CQ9" s="22" t="str">
        <f t="shared" si="3"/>
        <v/>
      </c>
      <c r="CR9" s="22" t="str">
        <f t="shared" si="4"/>
        <v/>
      </c>
      <c r="CS9" s="22" t="str">
        <f t="shared" si="5"/>
        <v/>
      </c>
    </row>
    <row r="10" spans="1:97" x14ac:dyDescent="0.3">
      <c r="A10" s="22" t="s">
        <v>145</v>
      </c>
      <c r="B10" s="22" t="s">
        <v>778</v>
      </c>
      <c r="D10" s="22" t="s">
        <v>137</v>
      </c>
      <c r="E10" t="s">
        <v>148</v>
      </c>
      <c r="F10" s="22">
        <v>120472</v>
      </c>
      <c r="G10" s="25" t="s">
        <v>149</v>
      </c>
      <c r="H10" s="23">
        <f>Tabel2[[#This Row],[pnt t/m 2021/22]]+Tabel2[[#This Row],[pnt 2022/2023]]</f>
        <v>78.75</v>
      </c>
      <c r="I10">
        <v>2016</v>
      </c>
      <c r="J10">
        <v>2022</v>
      </c>
      <c r="K10" s="24">
        <f>Tabel2[[#This Row],[ijkdatum]]-Tabel2[[#This Row],[Geboren]]</f>
        <v>6</v>
      </c>
      <c r="L10" s="26">
        <f>Tabel2[[#This Row],[TTL 1]]+Tabel2[[#This Row],[TTL 2]]+Tabel2[[#This Row],[TTL 3]]+Tabel2[[#This Row],[TTL 4]]+Tabel2[[#This Row],[TTL 5]]+Tabel2[[#This Row],[TTL 6]]+Tabel2[[#This Row],[TTL 7]]+Tabel2[[#This Row],[TTL 8]]+Tabel2[[#This Row],[TTL 9]]+Tabel2[[#This Row],[TTL 10]]</f>
        <v>0</v>
      </c>
      <c r="M10" s="153">
        <v>78.75</v>
      </c>
      <c r="O10">
        <v>1</v>
      </c>
      <c r="S10" s="153">
        <f>SUM(Tabel2[[#This Row],[V 1]]*10+Tabel2[[#This Row],[GT 1]])/Tabel2[[#This Row],[AW 1]]*10+Tabel2[[#This Row],[BONUS 1]]</f>
        <v>0</v>
      </c>
      <c r="U10">
        <v>1</v>
      </c>
      <c r="Y10" s="23">
        <f>SUM(Tabel2[[#This Row],[V 2]]*10+Tabel2[[#This Row],[GT 2]])/Tabel2[[#This Row],[AW 2]]*10+Tabel2[[#This Row],[BONUS 2]]</f>
        <v>0</v>
      </c>
      <c r="AA10">
        <v>1</v>
      </c>
      <c r="AE10" s="23">
        <f>SUM(Tabel2[[#This Row],[V 3]]*10+Tabel2[[#This Row],[GT 3]])/Tabel2[[#This Row],[AW 3]]*10+Tabel2[[#This Row],[BONUS 3]]</f>
        <v>0</v>
      </c>
      <c r="AG10">
        <v>1</v>
      </c>
      <c r="AK10" s="23">
        <f>SUM(Tabel2[[#This Row],[V 4]]*10+Tabel2[[#This Row],[GT 4]])/Tabel2[[#This Row],[AW 4]]*10+Tabel2[[#This Row],[BONUS 4]]</f>
        <v>0</v>
      </c>
      <c r="AM10">
        <v>1</v>
      </c>
      <c r="AQ10" s="23">
        <f>SUM(Tabel2[[#This Row],[V 5]]*10+Tabel2[[#This Row],[GT 5]])/Tabel2[[#This Row],[AW 5]]*10+Tabel2[[#This Row],[BONUS 5]]</f>
        <v>0</v>
      </c>
      <c r="AS10">
        <v>1</v>
      </c>
      <c r="AW10" s="23">
        <f>SUM(Tabel2[[#This Row],[V 6]]*10+Tabel2[[#This Row],[GT 6]])/Tabel2[[#This Row],[AW 6]]*10+Tabel2[[#This Row],[BONUS 6]]</f>
        <v>0</v>
      </c>
      <c r="AY10">
        <v>1</v>
      </c>
      <c r="BC10" s="23">
        <f>SUM(Tabel2[[#This Row],[V 7]]*10+Tabel2[[#This Row],[GT 7]])/Tabel2[[#This Row],[AW 7]]*10+Tabel2[[#This Row],[BONUS 7]]</f>
        <v>0</v>
      </c>
      <c r="BE10">
        <v>1</v>
      </c>
      <c r="BI10" s="23">
        <f>SUM(Tabel2[[#This Row],[V 8]]*10+Tabel2[[#This Row],[GT 8]])/Tabel2[[#This Row],[AW 8]]*10+Tabel2[[#This Row],[BONUS 8]]</f>
        <v>0</v>
      </c>
      <c r="BK10">
        <v>1</v>
      </c>
      <c r="BO10" s="2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IF(BX10=0,"geen actie",CONCATENATE("diploma uitschrijven: ",BV10," punten"))</f>
        <v>geen actie</v>
      </c>
      <c r="CA10" s="150">
        <f>Tabel2[[#This Row],[pnt t/m 2021/22]]</f>
        <v>78.75</v>
      </c>
      <c r="CB10" s="150">
        <f>Tabel2[[#This Row],[pnt 2022/2023]]</f>
        <v>0</v>
      </c>
      <c r="CC10" s="150">
        <f t="shared" si="6"/>
        <v>78.75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1"/>
        <v/>
      </c>
      <c r="CP10" s="22" t="str">
        <f t="shared" si="2"/>
        <v/>
      </c>
      <c r="CQ10" s="22" t="str">
        <f t="shared" si="3"/>
        <v/>
      </c>
      <c r="CR10" s="22" t="str">
        <f t="shared" si="4"/>
        <v/>
      </c>
      <c r="CS10" s="22" t="str">
        <f t="shared" si="5"/>
        <v/>
      </c>
    </row>
    <row r="11" spans="1:97" x14ac:dyDescent="0.3">
      <c r="A11" s="22" t="s">
        <v>135</v>
      </c>
      <c r="B11" s="22" t="s">
        <v>778</v>
      </c>
      <c r="D11" s="22" t="s">
        <v>783</v>
      </c>
      <c r="E11" t="s">
        <v>776</v>
      </c>
      <c r="F11" s="22">
        <v>119088</v>
      </c>
      <c r="G11" s="25" t="s">
        <v>369</v>
      </c>
      <c r="H11" s="142"/>
      <c r="I11">
        <v>2009</v>
      </c>
      <c r="J11">
        <v>2022</v>
      </c>
      <c r="K11" s="24">
        <f>Tabel2[[#This Row],[ijkdatum]]-Tabel2[[#This Row],[Geboren]]</f>
        <v>13</v>
      </c>
      <c r="L11" s="26">
        <f>Tabel2[[#This Row],[TTL 1]]+Tabel2[[#This Row],[TTL 2]]+Tabel2[[#This Row],[TTL 3]]+Tabel2[[#This Row],[TTL 4]]+Tabel2[[#This Row],[TTL 5]]+Tabel2[[#This Row],[TTL 6]]+Tabel2[[#This Row],[TTL 7]]+Tabel2[[#This Row],[TTL 8]]+Tabel2[[#This Row],[TTL 9]]+Tabel2[[#This Row],[TTL 10]]</f>
        <v>111.66666666666666</v>
      </c>
      <c r="M11" s="141"/>
      <c r="N11">
        <v>2</v>
      </c>
      <c r="O11">
        <v>6</v>
      </c>
      <c r="P11">
        <v>4</v>
      </c>
      <c r="Q11">
        <v>27</v>
      </c>
      <c r="S11" s="23">
        <f>SUM(Tabel2[[#This Row],[V 1]]*10+Tabel2[[#This Row],[GT 1]])/Tabel2[[#This Row],[AW 1]]*10+Tabel2[[#This Row],[BONUS 1]]</f>
        <v>111.66666666666666</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 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30">
        <f>Tabel2[[#This Row],[Diploma]]-Tabel2[[#This Row],[Uitgeschreven]]</f>
        <v>0</v>
      </c>
      <c r="BY11" s="2" t="str">
        <f>IF(BX11=0,"geen actie",CONCATENATE("diploma uitschrijven: ",BV11," punten"))</f>
        <v>geen actie</v>
      </c>
      <c r="CA11" s="150">
        <f>Tabel2[[#This Row],[pnt t/m 2021/22]]</f>
        <v>0</v>
      </c>
      <c r="CB11" s="150">
        <f>Tabel2[[#This Row],[pnt 2022/2023]]</f>
        <v>111.66666666666666</v>
      </c>
      <c r="CC11" s="150">
        <f t="shared" si="6"/>
        <v>111.66666666666666</v>
      </c>
      <c r="CD11" s="150">
        <f>IF(Tabel2[[#This Row],[LPR 1]]&gt;0,1,0)</f>
        <v>1</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1</v>
      </c>
      <c r="CO11" s="22" t="str">
        <f t="shared" si="1"/>
        <v/>
      </c>
      <c r="CP11" s="22" t="str">
        <f t="shared" si="2"/>
        <v/>
      </c>
      <c r="CQ11" s="22" t="str">
        <f t="shared" si="3"/>
        <v/>
      </c>
      <c r="CR11" s="22" t="str">
        <f t="shared" si="4"/>
        <v/>
      </c>
      <c r="CS11" s="22" t="str">
        <f t="shared" si="5"/>
        <v/>
      </c>
    </row>
    <row r="12" spans="1:97" x14ac:dyDescent="0.3">
      <c r="A12" s="22" t="s">
        <v>140</v>
      </c>
      <c r="B12" s="22" t="s">
        <v>778</v>
      </c>
      <c r="D12" s="22" t="s">
        <v>137</v>
      </c>
      <c r="E12" t="s">
        <v>150</v>
      </c>
      <c r="F12" s="22">
        <v>118947</v>
      </c>
      <c r="G12" s="25" t="s">
        <v>151</v>
      </c>
      <c r="H12" s="142">
        <f>Tabel2[[#This Row],[pnt t/m 2021/22]]+Tabel2[[#This Row],[pnt 2022/2023]]</f>
        <v>1121.7857975357977</v>
      </c>
      <c r="I12">
        <v>2012</v>
      </c>
      <c r="J12">
        <v>2022</v>
      </c>
      <c r="K12" s="24">
        <f>Tabel2[[#This Row],[ijkdatum]]-Tabel2[[#This Row],[Geboren]]</f>
        <v>10</v>
      </c>
      <c r="L12" s="26">
        <f>Tabel2[[#This Row],[TTL 1]]+Tabel2[[#This Row],[TTL 2]]+Tabel2[[#This Row],[TTL 3]]+Tabel2[[#This Row],[TTL 4]]+Tabel2[[#This Row],[TTL 5]]+Tabel2[[#This Row],[TTL 6]]+Tabel2[[#This Row],[TTL 7]]+Tabel2[[#This Row],[TTL 8]]+Tabel2[[#This Row],[TTL 9]]+Tabel2[[#This Row],[TTL 10]]</f>
        <v>0</v>
      </c>
      <c r="M12" s="141">
        <v>1121.7857975357977</v>
      </c>
      <c r="O12">
        <v>1</v>
      </c>
      <c r="S12" s="23">
        <f>SUM(Tabel2[[#This Row],[V 1]]*10+Tabel2[[#This Row],[GT 1]])/Tabel2[[#This Row],[AW 1]]*10+Tabel2[[#This Row],[BONUS 1]]</f>
        <v>0</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 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 s="22">
        <v>1000</v>
      </c>
      <c r="BX12" s="30">
        <f>Tabel2[[#This Row],[Diploma]]-Tabel2[[#This Row],[Uitgeschreven]]</f>
        <v>0</v>
      </c>
      <c r="BY12" s="2" t="str">
        <f>IF(BX12=0,"geen actie",CONCATENATE("diploma uitschrijven: ",BV12," punten"))</f>
        <v>geen actie</v>
      </c>
      <c r="CA12" s="150">
        <f>Tabel2[[#This Row],[pnt t/m 2021/22]]</f>
        <v>1121.7857975357977</v>
      </c>
      <c r="CB12" s="150">
        <f>Tabel2[[#This Row],[pnt 2022/2023]]</f>
        <v>0</v>
      </c>
      <c r="CC12" s="150">
        <f t="shared" si="6"/>
        <v>1121.7857975357977</v>
      </c>
      <c r="CD12" s="150">
        <f>IF(Tabel2[[#This Row],[LPR 1]]&gt;0,1,0)</f>
        <v>0</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0</v>
      </c>
      <c r="CO12" s="22" t="str">
        <f t="shared" si="1"/>
        <v/>
      </c>
      <c r="CP12" s="22" t="str">
        <f t="shared" si="2"/>
        <v/>
      </c>
      <c r="CQ12" s="22" t="str">
        <f t="shared" si="3"/>
        <v/>
      </c>
      <c r="CR12" s="22" t="str">
        <f t="shared" si="4"/>
        <v/>
      </c>
      <c r="CS12" s="22" t="str">
        <f t="shared" si="5"/>
        <v/>
      </c>
    </row>
    <row r="13" spans="1:97" x14ac:dyDescent="0.3">
      <c r="A13" s="22" t="s">
        <v>143</v>
      </c>
      <c r="B13" s="22" t="s">
        <v>778</v>
      </c>
      <c r="D13" s="22" t="s">
        <v>137</v>
      </c>
      <c r="E13" t="s">
        <v>152</v>
      </c>
      <c r="F13" s="22">
        <v>118286</v>
      </c>
      <c r="G13" s="25" t="s">
        <v>151</v>
      </c>
      <c r="H13" s="142">
        <f>Tabel2[[#This Row],[pnt t/m 2021/22]]+Tabel2[[#This Row],[pnt 2022/2023]]</f>
        <v>2372.4789377289376</v>
      </c>
      <c r="I13">
        <v>2009</v>
      </c>
      <c r="J13">
        <v>2022</v>
      </c>
      <c r="K13" s="24">
        <f>Tabel2[[#This Row],[ijkdatum]]-Tabel2[[#This Row],[Geboren]]</f>
        <v>13</v>
      </c>
      <c r="L13" s="26">
        <f>Tabel2[[#This Row],[TTL 1]]+Tabel2[[#This Row],[TTL 2]]+Tabel2[[#This Row],[TTL 3]]+Tabel2[[#This Row],[TTL 4]]+Tabel2[[#This Row],[TTL 5]]+Tabel2[[#This Row],[TTL 6]]+Tabel2[[#This Row],[TTL 7]]+Tabel2[[#This Row],[TTL 8]]+Tabel2[[#This Row],[TTL 9]]+Tabel2[[#This Row],[TTL 10]]</f>
        <v>0</v>
      </c>
      <c r="M13" s="141">
        <v>2372.4789377289376</v>
      </c>
      <c r="O13">
        <v>1</v>
      </c>
      <c r="S13" s="23">
        <f>SUM(Tabel2[[#This Row],[V 1]]*10+Tabel2[[#This Row],[GT 1]])/Tabel2[[#This Row],[AW 1]]*10+Tabel2[[#This Row],[BONUS 1]]</f>
        <v>0</v>
      </c>
      <c r="U13">
        <v>1</v>
      </c>
      <c r="Y13" s="23">
        <f>SUM(Tabel2[[#This Row],[V 2]]*10+Tabel2[[#This Row],[GT 2]])/Tabel2[[#This Row],[AW 2]]*10+Tabel2[[#This Row],[BONUS 2]]</f>
        <v>0</v>
      </c>
      <c r="AA13">
        <v>1</v>
      </c>
      <c r="AE13" s="23">
        <f>SUM(Tabel2[[#This Row],[V 3]]*10+Tabel2[[#This Row],[GT 3]])/Tabel2[[#This Row],[AW 3]]*10+Tabel2[[#This Row],[BONUS 3]]</f>
        <v>0</v>
      </c>
      <c r="AG13">
        <v>1</v>
      </c>
      <c r="AK13" s="23">
        <f>SUM(Tabel2[[#This Row],[V 4]]*10+Tabel2[[#This Row],[GT 4]])/Tabel2[[#This Row],[AW 4]]*10+Tabel2[[#This Row],[BONUS 4]]</f>
        <v>0</v>
      </c>
      <c r="AM13">
        <v>1</v>
      </c>
      <c r="AQ13" s="23">
        <f>SUM(Tabel2[[#This Row],[V 5]]*10+Tabel2[[#This Row],[GT 5]])/Tabel2[[#This Row],[AW 5]]*10+Tabel2[[#This Row],[BONUS 5]]</f>
        <v>0</v>
      </c>
      <c r="AS13">
        <v>1</v>
      </c>
      <c r="AW13" s="23">
        <f>SUM(Tabel2[[#This Row],[V 6]]*10+Tabel2[[#This Row],[GT 6]])/Tabel2[[#This Row],[AW 6]]*10+Tabel2[[#This Row],[BONUS 6]]</f>
        <v>0</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 s="22">
        <v>2000</v>
      </c>
      <c r="BX13" s="30">
        <f>Tabel2[[#This Row],[Diploma]]-Tabel2[[#This Row],[Uitgeschreven]]</f>
        <v>0</v>
      </c>
      <c r="BY13" s="2" t="str">
        <f>IF(BX13=0,"geen actie",CONCATENATE("diploma uitschrijven: ",BV13," punten"))</f>
        <v>geen actie</v>
      </c>
      <c r="CA13" s="150">
        <f>Tabel2[[#This Row],[pnt t/m 2021/22]]</f>
        <v>2372.4789377289376</v>
      </c>
      <c r="CB13" s="150">
        <f>Tabel2[[#This Row],[pnt 2022/2023]]</f>
        <v>0</v>
      </c>
      <c r="CC13" s="150">
        <f t="shared" si="6"/>
        <v>2372.4789377289376</v>
      </c>
      <c r="CD13" s="150">
        <f>IF(Tabel2[[#This Row],[LPR 1]]&gt;0,1,0)</f>
        <v>0</v>
      </c>
      <c r="CE13" s="150">
        <f>IF(Tabel2[[#This Row],[LPR 2]]&gt;0,1,0)</f>
        <v>0</v>
      </c>
      <c r="CF13" s="150">
        <f>IF(Tabel2[[#This Row],[LPR 3]]&gt;0,1,0)</f>
        <v>0</v>
      </c>
      <c r="CG13" s="150">
        <f>IF(Tabel2[[#This Row],[LPR 4]]&gt;0,1,0)</f>
        <v>0</v>
      </c>
      <c r="CH13" s="150">
        <f>IF(Tabel2[[#This Row],[LPR 5]]&gt;0,1,0)</f>
        <v>0</v>
      </c>
      <c r="CI13" s="150">
        <f>IF(Tabel2[[#This Row],[LPR 6]]&gt;0,1,0)</f>
        <v>0</v>
      </c>
      <c r="CJ13" s="150">
        <f>IF(Tabel2[[#This Row],[LPR 7]]&gt;0,1,0)</f>
        <v>0</v>
      </c>
      <c r="CK13" s="150">
        <f>IF(Tabel2[[#This Row],[LPR 8]]&gt;0,1,0)</f>
        <v>0</v>
      </c>
      <c r="CL13" s="150">
        <f>IF(Tabel2[[#This Row],[LPR 9]]&gt;0,1,0)</f>
        <v>0</v>
      </c>
      <c r="CM13" s="150">
        <f>IF(Tabel2[[#This Row],[LPR 10]]&gt;0,1,0)</f>
        <v>0</v>
      </c>
      <c r="CN13" s="150">
        <f>SUM(Tabel7[[#This Row],[sep]:[jun]])</f>
        <v>0</v>
      </c>
      <c r="CO13" s="22" t="str">
        <f t="shared" si="1"/>
        <v/>
      </c>
      <c r="CP13" s="22" t="str">
        <f t="shared" si="2"/>
        <v/>
      </c>
      <c r="CQ13" s="22" t="str">
        <f t="shared" si="3"/>
        <v/>
      </c>
      <c r="CR13" s="22" t="str">
        <f t="shared" si="4"/>
        <v/>
      </c>
      <c r="CS13" s="22" t="str">
        <f t="shared" si="5"/>
        <v/>
      </c>
    </row>
    <row r="14" spans="1:97" x14ac:dyDescent="0.3">
      <c r="A14" s="22" t="s">
        <v>153</v>
      </c>
      <c r="B14" s="22" t="s">
        <v>778</v>
      </c>
      <c r="D14" s="22" t="s">
        <v>137</v>
      </c>
      <c r="E14" t="s">
        <v>154</v>
      </c>
      <c r="F14" s="22">
        <v>119540</v>
      </c>
      <c r="G14" s="25" t="s">
        <v>155</v>
      </c>
      <c r="H14" s="142">
        <f>Tabel2[[#This Row],[pnt t/m 2021/22]]+Tabel2[[#This Row],[pnt 2022/2023]]</f>
        <v>265.71428571428572</v>
      </c>
      <c r="I14">
        <v>2012</v>
      </c>
      <c r="J14">
        <v>2022</v>
      </c>
      <c r="K14" s="24">
        <f>Tabel2[[#This Row],[ijkdatum]]-Tabel2[[#This Row],[Geboren]]</f>
        <v>10</v>
      </c>
      <c r="L14" s="26">
        <f>Tabel2[[#This Row],[TTL 1]]+Tabel2[[#This Row],[TTL 2]]+Tabel2[[#This Row],[TTL 3]]+Tabel2[[#This Row],[TTL 4]]+Tabel2[[#This Row],[TTL 5]]+Tabel2[[#This Row],[TTL 6]]+Tabel2[[#This Row],[TTL 7]]+Tabel2[[#This Row],[TTL 8]]+Tabel2[[#This Row],[TTL 9]]+Tabel2[[#This Row],[TTL 10]]</f>
        <v>0</v>
      </c>
      <c r="M14" s="141">
        <v>265.71428571428572</v>
      </c>
      <c r="O14">
        <v>1</v>
      </c>
      <c r="S14" s="23">
        <f>SUM(Tabel2[[#This Row],[V 1]]*10+Tabel2[[#This Row],[GT 1]])/Tabel2[[#This Row],[AW 1]]*10+Tabel2[[#This Row],[BONUS 1]]</f>
        <v>0</v>
      </c>
      <c r="U14">
        <v>1</v>
      </c>
      <c r="Y14" s="23">
        <f>SUM(Tabel2[[#This Row],[V 2]]*10+Tabel2[[#This Row],[GT 2]])/Tabel2[[#This Row],[AW 2]]*10+Tabel2[[#This Row],[BONUS 2]]</f>
        <v>0</v>
      </c>
      <c r="AA14">
        <v>1</v>
      </c>
      <c r="AE14" s="23">
        <f>SUM(Tabel2[[#This Row],[V 3]]*10+Tabel2[[#This Row],[GT 3]])/Tabel2[[#This Row],[AW 3]]*10+Tabel2[[#This Row],[BONUS 3]]</f>
        <v>0</v>
      </c>
      <c r="AG14">
        <v>1</v>
      </c>
      <c r="AK14" s="23">
        <f>SUM(Tabel2[[#This Row],[V 4]]*10+Tabel2[[#This Row],[GT 4]])/Tabel2[[#This Row],[AW 4]]*10+Tabel2[[#This Row],[BONUS 4]]</f>
        <v>0</v>
      </c>
      <c r="AM14">
        <v>1</v>
      </c>
      <c r="AQ14" s="23">
        <f>SUM(Tabel2[[#This Row],[V 5]]*10+Tabel2[[#This Row],[GT 5]])/Tabel2[[#This Row],[AW 5]]*10+Tabel2[[#This Row],[BONUS 5]]</f>
        <v>0</v>
      </c>
      <c r="AS14">
        <v>1</v>
      </c>
      <c r="AW14" s="23">
        <f>SUM(Tabel2[[#This Row],[V 6]]*10+Tabel2[[#This Row],[GT 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 s="22">
        <v>250</v>
      </c>
      <c r="BX14" s="30">
        <f>Tabel2[[#This Row],[Diploma]]-Tabel2[[#This Row],[Uitgeschreven]]</f>
        <v>0</v>
      </c>
      <c r="BY14" s="2" t="str">
        <f>IF(BX14=0,"geen actie",CONCATENATE("diploma uitschrijven: ",BV14," punten"))</f>
        <v>geen actie</v>
      </c>
      <c r="CA14" s="150">
        <f>Tabel2[[#This Row],[pnt t/m 2021/22]]</f>
        <v>265.71428571428572</v>
      </c>
      <c r="CB14" s="150">
        <f>Tabel2[[#This Row],[pnt 2022/2023]]</f>
        <v>0</v>
      </c>
      <c r="CC14" s="150">
        <f t="shared" si="6"/>
        <v>265.71428571428572</v>
      </c>
      <c r="CD14" s="150">
        <f>IF(Tabel2[[#This Row],[LPR 1]]&gt;0,1,0)</f>
        <v>0</v>
      </c>
      <c r="CE14" s="150">
        <f>IF(Tabel2[[#This Row],[LPR 2]]&gt;0,1,0)</f>
        <v>0</v>
      </c>
      <c r="CF14" s="150">
        <f>IF(Tabel2[[#This Row],[LPR 3]]&gt;0,1,0)</f>
        <v>0</v>
      </c>
      <c r="CG14" s="150">
        <f>IF(Tabel2[[#This Row],[LPR 4]]&gt;0,1,0)</f>
        <v>0</v>
      </c>
      <c r="CH14" s="150">
        <f>IF(Tabel2[[#This Row],[LPR 5]]&gt;0,1,0)</f>
        <v>0</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0</v>
      </c>
      <c r="CO14" s="22" t="str">
        <f t="shared" si="1"/>
        <v/>
      </c>
      <c r="CP14" s="22" t="str">
        <f t="shared" si="2"/>
        <v/>
      </c>
      <c r="CQ14" s="22" t="str">
        <f t="shared" si="3"/>
        <v/>
      </c>
      <c r="CR14" s="22" t="str">
        <f t="shared" si="4"/>
        <v/>
      </c>
      <c r="CS14" s="22" t="str">
        <f t="shared" si="5"/>
        <v/>
      </c>
    </row>
    <row r="15" spans="1:97" x14ac:dyDescent="0.3">
      <c r="A15" s="22" t="s">
        <v>143</v>
      </c>
      <c r="B15" s="22" t="s">
        <v>778</v>
      </c>
      <c r="D15" s="22" t="s">
        <v>137</v>
      </c>
      <c r="E15" t="s">
        <v>156</v>
      </c>
      <c r="F15" s="22">
        <v>119707</v>
      </c>
      <c r="G15" s="25" t="s">
        <v>151</v>
      </c>
      <c r="H15" s="142">
        <f>Tabel2[[#This Row],[pnt t/m 2021/22]]+Tabel2[[#This Row],[pnt 2022/2023]]</f>
        <v>295.98809523809524</v>
      </c>
      <c r="I15">
        <v>2010</v>
      </c>
      <c r="J15">
        <v>2022</v>
      </c>
      <c r="K15" s="24">
        <f>Tabel2[[#This Row],[ijkdatum]]-Tabel2[[#This Row],[Geboren]]</f>
        <v>12</v>
      </c>
      <c r="L15" s="26">
        <f>Tabel2[[#This Row],[TTL 1]]+Tabel2[[#This Row],[TTL 2]]+Tabel2[[#This Row],[TTL 3]]+Tabel2[[#This Row],[TTL 4]]+Tabel2[[#This Row],[TTL 5]]+Tabel2[[#This Row],[TTL 6]]+Tabel2[[#This Row],[TTL 7]]+Tabel2[[#This Row],[TTL 8]]+Tabel2[[#This Row],[TTL 9]]+Tabel2[[#This Row],[TTL 10]]</f>
        <v>0</v>
      </c>
      <c r="M15" s="141">
        <v>295.98809523809524</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M15">
        <v>1</v>
      </c>
      <c r="AQ15" s="23">
        <f>SUM(Tabel2[[#This Row],[V 5]]*10+Tabel2[[#This Row],[GT 5]])/Tabel2[[#This Row],[AW 5]]*10+Tabel2[[#This Row],[BONUS 5]]</f>
        <v>0</v>
      </c>
      <c r="AS15">
        <v>1</v>
      </c>
      <c r="AW15" s="23">
        <f>SUM(Tabel2[[#This Row],[V 6]]*10+Tabel2[[#This Row],[GT 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IF(BX15=0,"geen actie",CONCATENATE("diploma uitschrijven: ",BV15," punten"))</f>
        <v>geen actie</v>
      </c>
      <c r="CA15" s="150">
        <f>Tabel2[[#This Row],[pnt t/m 2021/22]]</f>
        <v>295.98809523809524</v>
      </c>
      <c r="CB15" s="150">
        <f>Tabel2[[#This Row],[pnt 2022/2023]]</f>
        <v>0</v>
      </c>
      <c r="CC15" s="150">
        <f t="shared" si="6"/>
        <v>295.98809523809524</v>
      </c>
      <c r="CD15" s="150">
        <f>IF(Tabel2[[#This Row],[LPR 1]]&gt;0,1,0)</f>
        <v>0</v>
      </c>
      <c r="CE15" s="150">
        <f>IF(Tabel2[[#This Row],[LPR 2]]&gt;0,1,0)</f>
        <v>0</v>
      </c>
      <c r="CF15" s="150">
        <f>IF(Tabel2[[#This Row],[LPR 3]]&gt;0,1,0)</f>
        <v>0</v>
      </c>
      <c r="CG15" s="150">
        <f>IF(Tabel2[[#This Row],[LPR 4]]&gt;0,1,0)</f>
        <v>0</v>
      </c>
      <c r="CH15" s="150">
        <f>IF(Tabel2[[#This Row],[LPR 5]]&gt;0,1,0)</f>
        <v>0</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0</v>
      </c>
      <c r="CO15" s="22" t="str">
        <f t="shared" si="1"/>
        <v/>
      </c>
      <c r="CP15" s="22" t="str">
        <f t="shared" si="2"/>
        <v/>
      </c>
      <c r="CQ15" s="22" t="str">
        <f t="shared" si="3"/>
        <v/>
      </c>
      <c r="CR15" s="22" t="str">
        <f t="shared" si="4"/>
        <v/>
      </c>
      <c r="CS15" s="22" t="str">
        <f t="shared" si="5"/>
        <v/>
      </c>
    </row>
    <row r="16" spans="1:97" x14ac:dyDescent="0.3">
      <c r="A16" s="22" t="s">
        <v>140</v>
      </c>
      <c r="B16" s="22" t="s">
        <v>779</v>
      </c>
      <c r="D16" s="22" t="s">
        <v>137</v>
      </c>
      <c r="E16" t="s">
        <v>157</v>
      </c>
      <c r="F16" s="22">
        <v>119705</v>
      </c>
      <c r="G16" s="25" t="s">
        <v>151</v>
      </c>
      <c r="H16" s="142">
        <f>Tabel2[[#This Row],[pnt t/m 2021/22]]+Tabel2[[#This Row],[pnt 2022/2023]]</f>
        <v>210.70238095238093</v>
      </c>
      <c r="I16">
        <v>2014</v>
      </c>
      <c r="J16">
        <v>2022</v>
      </c>
      <c r="K16" s="24">
        <f>Tabel2[[#This Row],[ijkdatum]]-Tabel2[[#This Row],[Geboren]]</f>
        <v>8</v>
      </c>
      <c r="L16" s="26">
        <f>Tabel2[[#This Row],[TTL 1]]+Tabel2[[#This Row],[TTL 2]]+Tabel2[[#This Row],[TTL 3]]+Tabel2[[#This Row],[TTL 4]]+Tabel2[[#This Row],[TTL 5]]+Tabel2[[#This Row],[TTL 6]]+Tabel2[[#This Row],[TTL 7]]+Tabel2[[#This Row],[TTL 8]]+Tabel2[[#This Row],[TTL 9]]+Tabel2[[#This Row],[TTL 10]]</f>
        <v>0</v>
      </c>
      <c r="M16" s="141">
        <v>210.70238095238093</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 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 s="22">
        <v>0</v>
      </c>
      <c r="BX16" s="30">
        <f>Tabel2[[#This Row],[Diploma]]-Tabel2[[#This Row],[Uitgeschreven]]</f>
        <v>0</v>
      </c>
      <c r="BY16" s="2" t="str">
        <f>IF(BX16=0,"geen actie",CONCATENATE("diploma uitschrijven: ",BV16," punten"))</f>
        <v>geen actie</v>
      </c>
      <c r="CA16" s="150">
        <f>Tabel2[[#This Row],[pnt t/m 2021/22]]</f>
        <v>210.70238095238093</v>
      </c>
      <c r="CB16" s="150">
        <f>Tabel2[[#This Row],[pnt 2022/2023]]</f>
        <v>0</v>
      </c>
      <c r="CC16" s="150">
        <f t="shared" si="6"/>
        <v>210.70238095238093</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1"/>
        <v/>
      </c>
      <c r="CP16" s="22" t="str">
        <f t="shared" si="2"/>
        <v/>
      </c>
      <c r="CQ16" s="22" t="str">
        <f t="shared" si="3"/>
        <v/>
      </c>
      <c r="CR16" s="22" t="str">
        <f t="shared" si="4"/>
        <v/>
      </c>
      <c r="CS16" s="22" t="str">
        <f t="shared" si="5"/>
        <v/>
      </c>
    </row>
    <row r="17" spans="1:97" x14ac:dyDescent="0.3">
      <c r="A17" s="22" t="s">
        <v>145</v>
      </c>
      <c r="B17" s="22" t="s">
        <v>778</v>
      </c>
      <c r="D17" s="22" t="s">
        <v>137</v>
      </c>
      <c r="E17" t="s">
        <v>158</v>
      </c>
      <c r="F17" s="22">
        <v>118308</v>
      </c>
      <c r="G17" s="25" t="s">
        <v>159</v>
      </c>
      <c r="H17" s="142">
        <f>Tabel2[[#This Row],[pnt t/m 2021/22]]+Tabel2[[#This Row],[pnt 2022/2023]]</f>
        <v>1175.939393939394</v>
      </c>
      <c r="I17">
        <v>2008</v>
      </c>
      <c r="J17">
        <v>2022</v>
      </c>
      <c r="K17" s="24">
        <f>Tabel2[[#This Row],[ijkdatum]]-Tabel2[[#This Row],[Geboren]]</f>
        <v>14</v>
      </c>
      <c r="L17" s="26">
        <f>Tabel2[[#This Row],[TTL 1]]+Tabel2[[#This Row],[TTL 2]]+Tabel2[[#This Row],[TTL 3]]+Tabel2[[#This Row],[TTL 4]]+Tabel2[[#This Row],[TTL 5]]+Tabel2[[#This Row],[TTL 6]]+Tabel2[[#This Row],[TTL 7]]+Tabel2[[#This Row],[TTL 8]]+Tabel2[[#This Row],[TTL 9]]+Tabel2[[#This Row],[TTL 10]]</f>
        <v>0</v>
      </c>
      <c r="M17" s="141">
        <v>1175.939393939394</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 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 s="22">
        <v>1000</v>
      </c>
      <c r="BX17" s="30">
        <f>Tabel2[[#This Row],[Diploma]]-Tabel2[[#This Row],[Uitgeschreven]]</f>
        <v>0</v>
      </c>
      <c r="BY17" s="2" t="str">
        <f>IF(BX17=0,"geen actie",CONCATENATE("diploma uitschrijven: ",BV17," punten"))</f>
        <v>geen actie</v>
      </c>
      <c r="CA17" s="150">
        <f>Tabel2[[#This Row],[pnt t/m 2021/22]]</f>
        <v>1175.939393939394</v>
      </c>
      <c r="CB17" s="150">
        <f>Tabel2[[#This Row],[pnt 2022/2023]]</f>
        <v>0</v>
      </c>
      <c r="CC17" s="150">
        <f t="shared" si="6"/>
        <v>1175.939393939394</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1"/>
        <v/>
      </c>
      <c r="CP17" s="22" t="str">
        <f t="shared" si="2"/>
        <v/>
      </c>
      <c r="CQ17" s="22" t="str">
        <f t="shared" si="3"/>
        <v/>
      </c>
      <c r="CR17" s="22" t="str">
        <f t="shared" si="4"/>
        <v/>
      </c>
      <c r="CS17" s="22" t="str">
        <f t="shared" si="5"/>
        <v/>
      </c>
    </row>
    <row r="18" spans="1:97" x14ac:dyDescent="0.3">
      <c r="A18" s="22" t="s">
        <v>140</v>
      </c>
      <c r="B18" s="22" t="s">
        <v>778</v>
      </c>
      <c r="D18" s="22" t="s">
        <v>137</v>
      </c>
      <c r="E18" t="s">
        <v>160</v>
      </c>
      <c r="F18" s="22">
        <v>119270</v>
      </c>
      <c r="G18" s="25" t="s">
        <v>161</v>
      </c>
      <c r="H18" s="142">
        <f>Tabel2[[#This Row],[pnt t/m 2021/22]]+Tabel2[[#This Row],[pnt 2022/2023]]</f>
        <v>948.11111111111109</v>
      </c>
      <c r="I18">
        <v>2011</v>
      </c>
      <c r="J18">
        <v>2022</v>
      </c>
      <c r="K18" s="24">
        <f>Tabel2[[#This Row],[ijkdatum]]-Tabel2[[#This Row],[Geboren]]</f>
        <v>11</v>
      </c>
      <c r="L18" s="26">
        <f>Tabel2[[#This Row],[TTL 1]]+Tabel2[[#This Row],[TTL 2]]+Tabel2[[#This Row],[TTL 3]]+Tabel2[[#This Row],[TTL 4]]+Tabel2[[#This Row],[TTL 5]]+Tabel2[[#This Row],[TTL 6]]+Tabel2[[#This Row],[TTL 7]]+Tabel2[[#This Row],[TTL 8]]+Tabel2[[#This Row],[TTL 9]]+Tabel2[[#This Row],[TTL 10]]</f>
        <v>0</v>
      </c>
      <c r="M18" s="141">
        <v>948.11111111111109</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 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8" s="22">
        <v>750</v>
      </c>
      <c r="BX18" s="30">
        <f>Tabel2[[#This Row],[Diploma]]-Tabel2[[#This Row],[Uitgeschreven]]</f>
        <v>0</v>
      </c>
      <c r="BY18" s="2" t="str">
        <f>IF(BX18=0,"geen actie",CONCATENATE("diploma uitschrijven: ",BV18," punten"))</f>
        <v>geen actie</v>
      </c>
      <c r="CA18" s="150">
        <f>Tabel2[[#This Row],[pnt t/m 2021/22]]</f>
        <v>948.11111111111109</v>
      </c>
      <c r="CB18" s="150">
        <f>Tabel2[[#This Row],[pnt 2022/2023]]</f>
        <v>0</v>
      </c>
      <c r="CC18" s="150">
        <f t="shared" si="6"/>
        <v>948.11111111111109</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1"/>
        <v/>
      </c>
      <c r="CP18" s="22" t="str">
        <f t="shared" si="2"/>
        <v/>
      </c>
      <c r="CQ18" s="22" t="str">
        <f t="shared" si="3"/>
        <v/>
      </c>
      <c r="CR18" s="22" t="str">
        <f t="shared" si="4"/>
        <v/>
      </c>
      <c r="CS18" s="22" t="str">
        <f t="shared" si="5"/>
        <v/>
      </c>
    </row>
    <row r="19" spans="1:97" x14ac:dyDescent="0.3">
      <c r="A19" s="22" t="s">
        <v>135</v>
      </c>
      <c r="B19" s="22" t="s">
        <v>778</v>
      </c>
      <c r="D19" s="22" t="s">
        <v>783</v>
      </c>
      <c r="E19" t="s">
        <v>162</v>
      </c>
      <c r="F19" s="22">
        <v>119465</v>
      </c>
      <c r="G19" s="25" t="s">
        <v>163</v>
      </c>
      <c r="H19" s="23">
        <f>Tabel2[[#This Row],[pnt t/m 2021/22]]+Tabel2[[#This Row],[pnt 2022/2023]]</f>
        <v>392.85714285714289</v>
      </c>
      <c r="I19">
        <v>2010</v>
      </c>
      <c r="J19">
        <v>2022</v>
      </c>
      <c r="K19" s="24">
        <f>Tabel2[[#This Row],[ijkdatum]]-Tabel2[[#This Row],[Geboren]]</f>
        <v>12</v>
      </c>
      <c r="L19" s="26">
        <f>Tabel2[[#This Row],[TTL 1]]+Tabel2[[#This Row],[TTL 2]]+Tabel2[[#This Row],[TTL 3]]+Tabel2[[#This Row],[TTL 4]]+Tabel2[[#This Row],[TTL 5]]+Tabel2[[#This Row],[TTL 6]]+Tabel2[[#This Row],[TTL 7]]+Tabel2[[#This Row],[TTL 8]]+Tabel2[[#This Row],[TTL 9]]+Tabel2[[#This Row],[TTL 10]]</f>
        <v>161</v>
      </c>
      <c r="M19" s="153">
        <v>231.85714285714289</v>
      </c>
      <c r="N19">
        <v>3</v>
      </c>
      <c r="O19">
        <v>10</v>
      </c>
      <c r="P19">
        <v>3</v>
      </c>
      <c r="Q19">
        <v>31</v>
      </c>
      <c r="S19" s="153">
        <f>SUM(Tabel2[[#This Row],[V 1]]*10+Tabel2[[#This Row],[GT 1]])/Tabel2[[#This Row],[AW 1]]*10+Tabel2[[#This Row],[BONUS 1]]</f>
        <v>61</v>
      </c>
      <c r="T19">
        <v>1</v>
      </c>
      <c r="U19">
        <v>1</v>
      </c>
      <c r="X19">
        <v>100</v>
      </c>
      <c r="Y19" s="153">
        <f>SUM(Tabel2[[#This Row],[V 2]]*10+Tabel2[[#This Row],[GT 2]])/Tabel2[[#This Row],[AW 2]]*10+Tabel2[[#This Row],[BONUS 2]]</f>
        <v>100</v>
      </c>
      <c r="AA19">
        <v>1</v>
      </c>
      <c r="AE19" s="153">
        <f>SUM(Tabel2[[#This Row],[V 3]]*10+Tabel2[[#This Row],[GT 3]])/Tabel2[[#This Row],[AW 3]]*10+Tabel2[[#This Row],[BONUS 3]]</f>
        <v>0</v>
      </c>
      <c r="AG19">
        <v>1</v>
      </c>
      <c r="AK19" s="153">
        <f>SUM(Tabel2[[#This Row],[V 4]]*10+Tabel2[[#This Row],[GT 4]])/Tabel2[[#This Row],[AW 4]]*10+Tabel2[[#This Row],[BONUS 4]]</f>
        <v>0</v>
      </c>
      <c r="AM19">
        <v>1</v>
      </c>
      <c r="AQ19" s="153">
        <f>SUM(Tabel2[[#This Row],[V 5]]*10+Tabel2[[#This Row],[GT 5]])/Tabel2[[#This Row],[AW 5]]*10+Tabel2[[#This Row],[BONUS 5]]</f>
        <v>0</v>
      </c>
      <c r="AS19">
        <v>1</v>
      </c>
      <c r="AW19" s="153">
        <f>SUM(Tabel2[[#This Row],[V 6]]*10+Tabel2[[#This Row],[GT 6]])/Tabel2[[#This Row],[AW 6]]*10+Tabel2[[#This Row],[BONUS 6]]</f>
        <v>0</v>
      </c>
      <c r="AY19">
        <v>1</v>
      </c>
      <c r="BC19" s="23">
        <f>SUM(Tabel2[[#This Row],[V 7]]*10+Tabel2[[#This Row],[GT 7]])/Tabel2[[#This Row],[AW 7]]*10+Tabel2[[#This Row],[BONUS 7]]</f>
        <v>0</v>
      </c>
      <c r="BE19">
        <v>1</v>
      </c>
      <c r="BI19" s="153">
        <f>SUM(Tabel2[[#This Row],[V 8]]*10+Tabel2[[#This Row],[GT 8]])/Tabel2[[#This Row],[AW 8]]*10+Tabel2[[#This Row],[BONUS 8]]</f>
        <v>0</v>
      </c>
      <c r="BK19">
        <v>1</v>
      </c>
      <c r="BO19" s="15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 s="22">
        <v>250</v>
      </c>
      <c r="BX19" s="22">
        <f>Tabel2[[#This Row],[Diploma]]-Tabel2[[#This Row],[Uitgeschreven]]</f>
        <v>0</v>
      </c>
      <c r="BY19" s="155" t="str">
        <f>IF(BX19=0,"geen actie",CONCATENATE("diploma uitschrijven: ",BV19," punten"))</f>
        <v>geen actie</v>
      </c>
      <c r="CA19" s="150">
        <f>Tabel2[[#This Row],[pnt t/m 2021/22]]</f>
        <v>231.85714285714289</v>
      </c>
      <c r="CB19" s="150">
        <f>Tabel2[[#This Row],[pnt 2022/2023]]</f>
        <v>161</v>
      </c>
      <c r="CC19" s="150">
        <f t="shared" si="6"/>
        <v>392.85714285714289</v>
      </c>
      <c r="CD19" s="150">
        <f>IF(Tabel2[[#This Row],[LPR 1]]&gt;0,1,0)</f>
        <v>1</v>
      </c>
      <c r="CE19" s="150">
        <f>IF(Tabel2[[#This Row],[LPR 2]]&gt;0,1,0)</f>
        <v>1</v>
      </c>
      <c r="CF19" s="150">
        <f>IF(Tabel2[[#This Row],[LPR 3]]&gt;0,1,0)</f>
        <v>0</v>
      </c>
      <c r="CG19" s="150">
        <f>IF(Tabel2[[#This Row],[LPR 4]]&gt;0,1,0)</f>
        <v>0</v>
      </c>
      <c r="CH19" s="150">
        <f>IF(Tabel2[[#This Row],[LPR 5]]&gt;0,1,0)</f>
        <v>0</v>
      </c>
      <c r="CI19" s="150">
        <f>IF(Tabel2[[#This Row],[LPR 6]]&gt;0,1,0)</f>
        <v>0</v>
      </c>
      <c r="CJ19" s="150">
        <f>IF(Tabel2[[#This Row],[LPR 7]]&gt;0,1,0)</f>
        <v>0</v>
      </c>
      <c r="CK19" s="150">
        <f>IF(Tabel2[[#This Row],[LPR 8]]&gt;0,1,0)</f>
        <v>0</v>
      </c>
      <c r="CL19" s="150">
        <f>IF(Tabel2[[#This Row],[LPR 9]]&gt;0,1,0)</f>
        <v>0</v>
      </c>
      <c r="CM19" s="150">
        <f>IF(Tabel2[[#This Row],[LPR 10]]&gt;0,1,0)</f>
        <v>0</v>
      </c>
      <c r="CN19" s="150">
        <f>SUM(Tabel7[[#This Row],[sep]:[jun]])</f>
        <v>2</v>
      </c>
      <c r="CO19" s="22" t="str">
        <f t="shared" si="1"/>
        <v/>
      </c>
      <c r="CP19" s="22" t="str">
        <f t="shared" si="2"/>
        <v/>
      </c>
      <c r="CQ19" s="22" t="str">
        <f t="shared" si="3"/>
        <v/>
      </c>
      <c r="CR19" s="22" t="str">
        <f t="shared" si="4"/>
        <v/>
      </c>
      <c r="CS19" s="22" t="str">
        <f t="shared" si="5"/>
        <v/>
      </c>
    </row>
    <row r="20" spans="1:97" x14ac:dyDescent="0.3">
      <c r="A20" s="22" t="s">
        <v>140</v>
      </c>
      <c r="B20" s="22" t="s">
        <v>779</v>
      </c>
      <c r="D20" s="22" t="s">
        <v>137</v>
      </c>
      <c r="E20" t="s">
        <v>164</v>
      </c>
      <c r="F20"/>
      <c r="G20" s="25" t="s">
        <v>165</v>
      </c>
      <c r="H20" s="23">
        <f>Tabel2[[#This Row],[pnt t/m 2021/22]]+Tabel2[[#This Row],[pnt 2022/2023]]</f>
        <v>9</v>
      </c>
      <c r="I20">
        <v>2015</v>
      </c>
      <c r="J20">
        <v>2022</v>
      </c>
      <c r="K20" s="24">
        <f>Tabel2[[#This Row],[ijkdatum]]-Tabel2[[#This Row],[Geboren]]</f>
        <v>7</v>
      </c>
      <c r="L20" s="26">
        <f>Tabel2[[#This Row],[TTL 1]]+Tabel2[[#This Row],[TTL 2]]+Tabel2[[#This Row],[TTL 3]]+Tabel2[[#This Row],[TTL 4]]+Tabel2[[#This Row],[TTL 5]]+Tabel2[[#This Row],[TTL 6]]+Tabel2[[#This Row],[TTL 7]]+Tabel2[[#This Row],[TTL 8]]+Tabel2[[#This Row],[TTL 9]]+Tabel2[[#This Row],[TTL 10]]</f>
        <v>0</v>
      </c>
      <c r="M20" s="153">
        <v>9</v>
      </c>
      <c r="O20">
        <v>1</v>
      </c>
      <c r="S20" s="153">
        <f>SUM(Tabel2[[#This Row],[V 1]]*10+Tabel2[[#This Row],[GT 1]])/Tabel2[[#This Row],[AW 1]]*10+Tabel2[[#This Row],[BONUS 1]]</f>
        <v>0</v>
      </c>
      <c r="U20">
        <v>1</v>
      </c>
      <c r="Y20" s="153">
        <f>SUM(Tabel2[[#This Row],[V 2]]*10+Tabel2[[#This Row],[GT 2]])/Tabel2[[#This Row],[AW 2]]*10+Tabel2[[#This Row],[BONUS 2]]</f>
        <v>0</v>
      </c>
      <c r="AA20">
        <v>1</v>
      </c>
      <c r="AE20" s="153">
        <f>SUM(Tabel2[[#This Row],[V 3]]*10+Tabel2[[#This Row],[GT 3]])/Tabel2[[#This Row],[AW 3]]*10+Tabel2[[#This Row],[BONUS 3]]</f>
        <v>0</v>
      </c>
      <c r="AG20">
        <v>1</v>
      </c>
      <c r="AK20" s="153">
        <f>SUM(Tabel2[[#This Row],[V 4]]*10+Tabel2[[#This Row],[GT 4]])/Tabel2[[#This Row],[AW 4]]*10+Tabel2[[#This Row],[BONUS 4]]</f>
        <v>0</v>
      </c>
      <c r="AM20">
        <v>1</v>
      </c>
      <c r="AQ20" s="153">
        <f>SUM(Tabel2[[#This Row],[V 5]]*10+Tabel2[[#This Row],[GT 5]])/Tabel2[[#This Row],[AW 5]]*10+Tabel2[[#This Row],[BONUS 5]]</f>
        <v>0</v>
      </c>
      <c r="AS20">
        <v>1</v>
      </c>
      <c r="AW20" s="153">
        <f>SUM(Tabel2[[#This Row],[V 6]]*10+Tabel2[[#This Row],[GT 6]])/Tabel2[[#This Row],[AW 6]]*10+Tabel2[[#This Row],[BONUS 6]]</f>
        <v>0</v>
      </c>
      <c r="AY20">
        <v>1</v>
      </c>
      <c r="BC20" s="153">
        <f>SUM(Tabel2[[#This Row],[V 7]]*10+Tabel2[[#This Row],[GT 7]])/Tabel2[[#This Row],[AW 7]]*10+Tabel2[[#This Row],[BONUS 7]]</f>
        <v>0</v>
      </c>
      <c r="BE20">
        <v>1</v>
      </c>
      <c r="BI20" s="153">
        <f>SUM(Tabel2[[#This Row],[V 8]]*10+Tabel2[[#This Row],[GT 8]])/Tabel2[[#This Row],[AW 8]]*10+Tabel2[[#This Row],[BONUS 8]]</f>
        <v>0</v>
      </c>
      <c r="BK20">
        <v>1</v>
      </c>
      <c r="BO20" s="153">
        <f>SUM(Tabel2[[#This Row],[V 9]]*10+Tabel2[[#This Row],[GT 9]])/Tabel2[[#This Row],[AW 9]]*10+Tabel2[[#This Row],[BONUS 9]]</f>
        <v>0</v>
      </c>
      <c r="BQ20">
        <v>1</v>
      </c>
      <c r="BU20" s="23">
        <f>SUM(Tabel2[[#This Row],[V 10]]*10+Tabel2[[#This Row],[GT 10]])/Tabel2[[#This Row],[AW 10]]*10+Tabel2[[#This Row],[BONUS 10]]</f>
        <v>0</v>
      </c>
      <c r="BV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 s="22">
        <v>0</v>
      </c>
      <c r="BX20" s="22">
        <f>Tabel2[[#This Row],[Diploma]]-Tabel2[[#This Row],[Uitgeschreven]]</f>
        <v>0</v>
      </c>
      <c r="BY20" s="155" t="str">
        <f>IF(BX20=0,"geen actie",CONCATENATE("diploma uitschrijven: ",BV20," punten"))</f>
        <v>geen actie</v>
      </c>
      <c r="CA20" s="150">
        <f>Tabel2[[#This Row],[pnt t/m 2021/22]]</f>
        <v>9</v>
      </c>
      <c r="CB20" s="150">
        <f>Tabel2[[#This Row],[pnt 2022/2023]]</f>
        <v>0</v>
      </c>
      <c r="CC20" s="150">
        <f t="shared" si="6"/>
        <v>9</v>
      </c>
      <c r="CD20" s="150">
        <f>IF(Tabel2[[#This Row],[LPR 1]]&gt;0,1,0)</f>
        <v>0</v>
      </c>
      <c r="CE20" s="150">
        <f>IF(Tabel2[[#This Row],[LPR 2]]&gt;0,1,0)</f>
        <v>0</v>
      </c>
      <c r="CF20" s="150">
        <f>IF(Tabel2[[#This Row],[LPR 3]]&gt;0,1,0)</f>
        <v>0</v>
      </c>
      <c r="CG20" s="150">
        <f>IF(Tabel2[[#This Row],[LPR 4]]&gt;0,1,0)</f>
        <v>0</v>
      </c>
      <c r="CH20" s="150">
        <f>IF(Tabel2[[#This Row],[LPR 5]]&gt;0,1,0)</f>
        <v>0</v>
      </c>
      <c r="CI20" s="150">
        <f>IF(Tabel2[[#This Row],[LPR 6]]&gt;0,1,0)</f>
        <v>0</v>
      </c>
      <c r="CJ20" s="150">
        <f>IF(Tabel2[[#This Row],[LPR 7]]&gt;0,1,0)</f>
        <v>0</v>
      </c>
      <c r="CK20" s="150">
        <f>IF(Tabel2[[#This Row],[LPR 8]]&gt;0,1,0)</f>
        <v>0</v>
      </c>
      <c r="CL20" s="150">
        <f>IF(Tabel2[[#This Row],[LPR 9]]&gt;0,1,0)</f>
        <v>0</v>
      </c>
      <c r="CM20" s="150">
        <f>IF(Tabel2[[#This Row],[LPR 10]]&gt;0,1,0)</f>
        <v>0</v>
      </c>
      <c r="CN20" s="150">
        <f>SUM(Tabel7[[#This Row],[sep]:[jun]])</f>
        <v>0</v>
      </c>
      <c r="CO20" s="22" t="str">
        <f t="shared" si="1"/>
        <v/>
      </c>
      <c r="CP20" s="22" t="str">
        <f t="shared" si="2"/>
        <v/>
      </c>
      <c r="CQ20" s="22" t="str">
        <f t="shared" si="3"/>
        <v/>
      </c>
      <c r="CR20" s="22" t="str">
        <f t="shared" si="4"/>
        <v/>
      </c>
      <c r="CS20" s="22" t="str">
        <f t="shared" si="5"/>
        <v/>
      </c>
    </row>
    <row r="21" spans="1:97" x14ac:dyDescent="0.3">
      <c r="A21" s="22" t="s">
        <v>145</v>
      </c>
      <c r="B21" s="22" t="s">
        <v>778</v>
      </c>
      <c r="D21" s="22" t="s">
        <v>783</v>
      </c>
      <c r="E21" t="s">
        <v>166</v>
      </c>
      <c r="F21" s="22">
        <v>117750</v>
      </c>
      <c r="G21" s="25" t="s">
        <v>167</v>
      </c>
      <c r="H21" s="142">
        <f>Tabel2[[#This Row],[pnt t/m 2021/22]]+Tabel2[[#This Row],[pnt 2022/2023]]</f>
        <v>880.907913165266</v>
      </c>
      <c r="I21">
        <v>2008</v>
      </c>
      <c r="J21">
        <v>2022</v>
      </c>
      <c r="K21" s="24">
        <f>Tabel2[[#This Row],[ijkdatum]]-Tabel2[[#This Row],[Geboren]]</f>
        <v>14</v>
      </c>
      <c r="L21" s="26">
        <f>Tabel2[[#This Row],[TTL 1]]+Tabel2[[#This Row],[TTL 2]]+Tabel2[[#This Row],[TTL 3]]+Tabel2[[#This Row],[TTL 4]]+Tabel2[[#This Row],[TTL 5]]+Tabel2[[#This Row],[TTL 6]]+Tabel2[[#This Row],[TTL 7]]+Tabel2[[#This Row],[TTL 8]]+Tabel2[[#This Row],[TTL 9]]+Tabel2[[#This Row],[TTL 10]]</f>
        <v>135.625</v>
      </c>
      <c r="M21" s="141">
        <v>745.282913165266</v>
      </c>
      <c r="N21">
        <v>10</v>
      </c>
      <c r="O21">
        <v>16</v>
      </c>
      <c r="P21">
        <v>14</v>
      </c>
      <c r="Q21">
        <v>77</v>
      </c>
      <c r="S21" s="23">
        <f>SUM(Tabel2[[#This Row],[V 1]]*10+Tabel2[[#This Row],[GT 1]])/Tabel2[[#This Row],[AW 1]]*10+Tabel2[[#This Row],[BONUS 1]]</f>
        <v>135.625</v>
      </c>
      <c r="U21">
        <v>1</v>
      </c>
      <c r="Y21" s="23">
        <f>SUM(Tabel2[[#This Row],[V 2]]*10+Tabel2[[#This Row],[GT 2]])/Tabel2[[#This Row],[AW 2]]*10+Tabel2[[#This Row],[BONUS 2]]</f>
        <v>0</v>
      </c>
      <c r="AA21">
        <v>1</v>
      </c>
      <c r="AE21" s="23">
        <f>SUM(Tabel2[[#This Row],[V 3]]*10+Tabel2[[#This Row],[GT 3]])/Tabel2[[#This Row],[AW 3]]*10+Tabel2[[#This Row],[BONUS 3]]</f>
        <v>0</v>
      </c>
      <c r="AG21">
        <v>1</v>
      </c>
      <c r="AK21" s="23">
        <f>SUM(Tabel2[[#This Row],[V 4]]*10+Tabel2[[#This Row],[GT 4]])/Tabel2[[#This Row],[AW 4]]*10+Tabel2[[#This Row],[BONUS 4]]</f>
        <v>0</v>
      </c>
      <c r="AM21">
        <v>1</v>
      </c>
      <c r="AQ21" s="23">
        <f>SUM(Tabel2[[#This Row],[V 5]]*10+Tabel2[[#This Row],[GT 5]])/Tabel2[[#This Row],[AW 5]]*10+Tabel2[[#This Row],[BONUS 5]]</f>
        <v>0</v>
      </c>
      <c r="AS21">
        <v>1</v>
      </c>
      <c r="AW21" s="23">
        <f>SUM(Tabel2[[#This Row],[V 6]]*10+Tabel2[[#This Row],[GT 6]])/Tabel2[[#This Row],[AW 6]]*10+Tabel2[[#This Row],[BONUS 6]]</f>
        <v>0</v>
      </c>
      <c r="AY21">
        <v>1</v>
      </c>
      <c r="BC21" s="23">
        <f>SUM(Tabel2[[#This Row],[V 7]]*10+Tabel2[[#This Row],[GT 7]])/Tabel2[[#This Row],[AW 7]]*10+Tabel2[[#This Row],[BONUS 7]]</f>
        <v>0</v>
      </c>
      <c r="BE21">
        <v>1</v>
      </c>
      <c r="BI21" s="23">
        <f>SUM(Tabel2[[#This Row],[V 8]]*10+Tabel2[[#This Row],[GT 8]])/Tabel2[[#This Row],[AW 8]]*10+Tabel2[[#This Row],[BONUS 8]]</f>
        <v>0</v>
      </c>
      <c r="BK21">
        <v>1</v>
      </c>
      <c r="BO21" s="23">
        <f>SUM(Tabel2[[#This Row],[V 9]]*10+Tabel2[[#This Row],[GT 9]])/Tabel2[[#This Row],[AW 9]]*10+Tabel2[[#This Row],[BONUS 9]]</f>
        <v>0</v>
      </c>
      <c r="BQ21">
        <v>1</v>
      </c>
      <c r="BU21" s="23">
        <f>SUM(Tabel2[[#This Row],[V 10]]*10+Tabel2[[#This Row],[GT 10]])/Tabel2[[#This Row],[AW 10]]*10+Tabel2[[#This Row],[BONUS 10]]</f>
        <v>0</v>
      </c>
      <c r="BV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1" s="22">
        <v>750</v>
      </c>
      <c r="BX21" s="30">
        <f>Tabel2[[#This Row],[Diploma]]-Tabel2[[#This Row],[Uitgeschreven]]</f>
        <v>0</v>
      </c>
      <c r="BY21" s="2" t="str">
        <f>IF(BX21=0,"geen actie",CONCATENATE("diploma uitschrijven: ",BV21," punten"))</f>
        <v>geen actie</v>
      </c>
      <c r="CA21" s="150">
        <f>Tabel2[[#This Row],[pnt t/m 2021/22]]</f>
        <v>745.282913165266</v>
      </c>
      <c r="CB21" s="150">
        <f>Tabel2[[#This Row],[pnt 2022/2023]]</f>
        <v>135.625</v>
      </c>
      <c r="CC21" s="150">
        <f t="shared" si="6"/>
        <v>880.907913165266</v>
      </c>
      <c r="CD21" s="150">
        <f>IF(Tabel2[[#This Row],[LPR 1]]&gt;0,1,0)</f>
        <v>1</v>
      </c>
      <c r="CE21" s="150">
        <f>IF(Tabel2[[#This Row],[LPR 2]]&gt;0,1,0)</f>
        <v>0</v>
      </c>
      <c r="CF21" s="150">
        <f>IF(Tabel2[[#This Row],[LPR 3]]&gt;0,1,0)</f>
        <v>0</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1</v>
      </c>
      <c r="CO21" s="22" t="str">
        <f t="shared" si="1"/>
        <v/>
      </c>
      <c r="CP21" s="22" t="str">
        <f t="shared" si="2"/>
        <v/>
      </c>
      <c r="CQ21" s="22" t="str">
        <f t="shared" si="3"/>
        <v/>
      </c>
      <c r="CR21" s="22" t="str">
        <f t="shared" si="4"/>
        <v/>
      </c>
      <c r="CS21" s="22" t="str">
        <f t="shared" si="5"/>
        <v/>
      </c>
    </row>
    <row r="22" spans="1:97" x14ac:dyDescent="0.3">
      <c r="A22" s="22" t="s">
        <v>135</v>
      </c>
      <c r="B22" s="22" t="s">
        <v>778</v>
      </c>
      <c r="D22" s="22" t="s">
        <v>783</v>
      </c>
      <c r="E22" t="s">
        <v>168</v>
      </c>
      <c r="F22" s="22">
        <v>116408</v>
      </c>
      <c r="G22" s="25" t="s">
        <v>163</v>
      </c>
      <c r="H22" s="142">
        <f>Tabel2[[#This Row],[pnt t/m 2021/22]]+Tabel2[[#This Row],[pnt 2022/2023]]</f>
        <v>2299.0878565878565</v>
      </c>
      <c r="I22">
        <v>2008</v>
      </c>
      <c r="J22">
        <v>2022</v>
      </c>
      <c r="K22" s="24">
        <f>Tabel2[[#This Row],[ijkdatum]]-Tabel2[[#This Row],[Geboren]]</f>
        <v>14</v>
      </c>
      <c r="L22" s="26">
        <f>Tabel2[[#This Row],[TTL 1]]+Tabel2[[#This Row],[TTL 2]]+Tabel2[[#This Row],[TTL 3]]+Tabel2[[#This Row],[TTL 4]]+Tabel2[[#This Row],[TTL 5]]+Tabel2[[#This Row],[TTL 6]]+Tabel2[[#This Row],[TTL 7]]+Tabel2[[#This Row],[TTL 8]]+Tabel2[[#This Row],[TTL 9]]+Tabel2[[#This Row],[TTL 10]]</f>
        <v>187</v>
      </c>
      <c r="M22" s="141">
        <v>2112.0878565878565</v>
      </c>
      <c r="N22">
        <v>1</v>
      </c>
      <c r="O22">
        <v>10</v>
      </c>
      <c r="P22">
        <v>7</v>
      </c>
      <c r="Q22">
        <v>42</v>
      </c>
      <c r="S22" s="23">
        <f>SUM(Tabel2[[#This Row],[V 1]]*10+Tabel2[[#This Row],[GT 1]])/Tabel2[[#This Row],[AW 1]]*10+Tabel2[[#This Row],[BONUS 1]]</f>
        <v>112</v>
      </c>
      <c r="T22">
        <v>1</v>
      </c>
      <c r="U22">
        <v>1</v>
      </c>
      <c r="X22">
        <v>75</v>
      </c>
      <c r="Y22" s="23">
        <f>SUM(Tabel2[[#This Row],[V 2]]*10+Tabel2[[#This Row],[GT 2]])/Tabel2[[#This Row],[AW 2]]*10+Tabel2[[#This Row],[BONUS 2]]</f>
        <v>75</v>
      </c>
      <c r="AA22">
        <v>1</v>
      </c>
      <c r="AE22" s="23">
        <f>SUM(Tabel2[[#This Row],[V 3]]*10+Tabel2[[#This Row],[GT 3]])/Tabel2[[#This Row],[AW 3]]*10+Tabel2[[#This Row],[BONUS 3]]</f>
        <v>0</v>
      </c>
      <c r="AG22">
        <v>1</v>
      </c>
      <c r="AK22" s="23">
        <f>SUM(Tabel2[[#This Row],[V 4]]*10+Tabel2[[#This Row],[GT 4]])/Tabel2[[#This Row],[AW 4]]*10+Tabel2[[#This Row],[BONUS 4]]</f>
        <v>0</v>
      </c>
      <c r="AM22">
        <v>1</v>
      </c>
      <c r="AQ22" s="23">
        <f>SUM(Tabel2[[#This Row],[V 5]]*10+Tabel2[[#This Row],[GT 5]])/Tabel2[[#This Row],[AW 5]]*10+Tabel2[[#This Row],[BONUS 5]]</f>
        <v>0</v>
      </c>
      <c r="AS22">
        <v>1</v>
      </c>
      <c r="AW22" s="23">
        <f>SUM(Tabel2[[#This Row],[V 6]]*10+Tabel2[[#This Row],[GT 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2" s="22">
        <v>2000</v>
      </c>
      <c r="BX22" s="30">
        <f>Tabel2[[#This Row],[Diploma]]-Tabel2[[#This Row],[Uitgeschreven]]</f>
        <v>0</v>
      </c>
      <c r="BY22" s="2" t="str">
        <f>IF(BX22=0,"geen actie",CONCATENATE("diploma uitschrijven: ",BV22," punten"))</f>
        <v>geen actie</v>
      </c>
      <c r="CA22" s="150">
        <f>Tabel2[[#This Row],[pnt t/m 2021/22]]</f>
        <v>2112.0878565878565</v>
      </c>
      <c r="CB22" s="150">
        <f>Tabel2[[#This Row],[pnt 2022/2023]]</f>
        <v>187</v>
      </c>
      <c r="CC22" s="150">
        <f t="shared" si="6"/>
        <v>2299.0878565878565</v>
      </c>
      <c r="CD22" s="150">
        <f>IF(Tabel2[[#This Row],[LPR 1]]&gt;0,1,0)</f>
        <v>1</v>
      </c>
      <c r="CE22" s="150">
        <f>IF(Tabel2[[#This Row],[LPR 2]]&gt;0,1,0)</f>
        <v>1</v>
      </c>
      <c r="CF22" s="150">
        <f>IF(Tabel2[[#This Row],[LPR 3]]&gt;0,1,0)</f>
        <v>0</v>
      </c>
      <c r="CG22" s="150">
        <f>IF(Tabel2[[#This Row],[LPR 4]]&gt;0,1,0)</f>
        <v>0</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2</v>
      </c>
      <c r="CO22" s="22" t="str">
        <f t="shared" si="1"/>
        <v/>
      </c>
      <c r="CP22" s="22" t="str">
        <f t="shared" si="2"/>
        <v/>
      </c>
      <c r="CQ22" s="22" t="str">
        <f t="shared" si="3"/>
        <v/>
      </c>
      <c r="CR22" s="22" t="str">
        <f t="shared" si="4"/>
        <v/>
      </c>
      <c r="CS22" s="22" t="str">
        <f t="shared" si="5"/>
        <v/>
      </c>
    </row>
    <row r="23" spans="1:97" x14ac:dyDescent="0.3">
      <c r="A23" s="22" t="s">
        <v>169</v>
      </c>
      <c r="B23" s="22" t="s">
        <v>778</v>
      </c>
      <c r="D23" s="22" t="s">
        <v>137</v>
      </c>
      <c r="E23" t="s">
        <v>170</v>
      </c>
      <c r="F23" s="22">
        <v>118893</v>
      </c>
      <c r="G23" s="25" t="s">
        <v>171</v>
      </c>
      <c r="H23" s="23">
        <f>Tabel2[[#This Row],[pnt t/m 2021/22]]+Tabel2[[#This Row],[pnt 2022/2023]]</f>
        <v>100</v>
      </c>
      <c r="I23">
        <v>2011</v>
      </c>
      <c r="J23">
        <v>2022</v>
      </c>
      <c r="K23" s="24">
        <f>Tabel2[[#This Row],[ijkdatum]]-Tabel2[[#This Row],[Geboren]]</f>
        <v>11</v>
      </c>
      <c r="L23" s="26">
        <f>Tabel2[[#This Row],[TTL 1]]+Tabel2[[#This Row],[TTL 2]]+Tabel2[[#This Row],[TTL 3]]+Tabel2[[#This Row],[TTL 4]]+Tabel2[[#This Row],[TTL 5]]+Tabel2[[#This Row],[TTL 6]]+Tabel2[[#This Row],[TTL 7]]+Tabel2[[#This Row],[TTL 8]]+Tabel2[[#This Row],[TTL 9]]+Tabel2[[#This Row],[TTL 10]]</f>
        <v>0</v>
      </c>
      <c r="M23" s="153">
        <v>100</v>
      </c>
      <c r="O23">
        <v>1</v>
      </c>
      <c r="S23" s="153">
        <f>SUM(Tabel2[[#This Row],[V 1]]*10+Tabel2[[#This Row],[GT 1]])/Tabel2[[#This Row],[AW 1]]*10+Tabel2[[#This Row],[BONUS 1]]</f>
        <v>0</v>
      </c>
      <c r="U23">
        <v>1</v>
      </c>
      <c r="Y23" s="153">
        <f>SUM(Tabel2[[#This Row],[V 2]]*10+Tabel2[[#This Row],[GT 2]])/Tabel2[[#This Row],[AW 2]]*10+Tabel2[[#This Row],[BONUS 2]]</f>
        <v>0</v>
      </c>
      <c r="AA23">
        <v>1</v>
      </c>
      <c r="AE23" s="153">
        <f>SUM(Tabel2[[#This Row],[V 3]]*10+Tabel2[[#This Row],[GT 3]])/Tabel2[[#This Row],[AW 3]]*10+Tabel2[[#This Row],[BONUS 3]]</f>
        <v>0</v>
      </c>
      <c r="AG23">
        <v>1</v>
      </c>
      <c r="AK23" s="153">
        <f>SUM(Tabel2[[#This Row],[V 4]]*10+Tabel2[[#This Row],[GT 4]])/Tabel2[[#This Row],[AW 4]]*10+Tabel2[[#This Row],[BONUS 4]]</f>
        <v>0</v>
      </c>
      <c r="AM23">
        <v>1</v>
      </c>
      <c r="AQ23" s="153">
        <f>SUM(Tabel2[[#This Row],[V 5]]*10+Tabel2[[#This Row],[GT 5]])/Tabel2[[#This Row],[AW 5]]*10+Tabel2[[#This Row],[BONUS 5]]</f>
        <v>0</v>
      </c>
      <c r="AS23">
        <v>1</v>
      </c>
      <c r="AW23" s="153">
        <f>SUM(Tabel2[[#This Row],[V 6]]*10+Tabel2[[#This Row],[GT 6]])/Tabel2[[#This Row],[AW 6]]*10+Tabel2[[#This Row],[BONUS 6]]</f>
        <v>0</v>
      </c>
      <c r="AY23">
        <v>1</v>
      </c>
      <c r="BC23" s="153">
        <f>SUM(Tabel2[[#This Row],[V 7]]*10+Tabel2[[#This Row],[GT 7]])/Tabel2[[#This Row],[AW 7]]*10+Tabel2[[#This Row],[BONUS 7]]</f>
        <v>0</v>
      </c>
      <c r="BE23">
        <v>1</v>
      </c>
      <c r="BI23" s="153">
        <f>SUM(Tabel2[[#This Row],[V 8]]*10+Tabel2[[#This Row],[GT 8]])/Tabel2[[#This Row],[AW 8]]*10+Tabel2[[#This Row],[BONUS 8]]</f>
        <v>0</v>
      </c>
      <c r="BK23">
        <v>1</v>
      </c>
      <c r="BO23" s="15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 s="22">
        <v>0</v>
      </c>
      <c r="BX23" s="22">
        <f>Tabel2[[#This Row],[Diploma]]-Tabel2[[#This Row],[Uitgeschreven]]</f>
        <v>0</v>
      </c>
      <c r="BY23" s="155" t="str">
        <f>IF(BX23=0,"geen actie",CONCATENATE("diploma uitschrijven: ",BV23," punten"))</f>
        <v>geen actie</v>
      </c>
      <c r="CA23" s="150">
        <f>Tabel2[[#This Row],[pnt t/m 2021/22]]</f>
        <v>100</v>
      </c>
      <c r="CB23" s="150">
        <f>Tabel2[[#This Row],[pnt 2022/2023]]</f>
        <v>0</v>
      </c>
      <c r="CC23" s="150">
        <f t="shared" si="6"/>
        <v>100</v>
      </c>
      <c r="CD23" s="150">
        <f>IF(Tabel2[[#This Row],[LPR 1]]&gt;0,1,0)</f>
        <v>0</v>
      </c>
      <c r="CE23" s="150">
        <f>IF(Tabel2[[#This Row],[LPR 2]]&gt;0,1,0)</f>
        <v>0</v>
      </c>
      <c r="CF23" s="150">
        <f>IF(Tabel2[[#This Row],[LPR 3]]&gt;0,1,0)</f>
        <v>0</v>
      </c>
      <c r="CG23" s="150">
        <f>IF(Tabel2[[#This Row],[LPR 4]]&gt;0,1,0)</f>
        <v>0</v>
      </c>
      <c r="CH23" s="150">
        <f>IF(Tabel2[[#This Row],[LPR 5]]&gt;0,1,0)</f>
        <v>0</v>
      </c>
      <c r="CI23" s="150">
        <f>IF(Tabel2[[#This Row],[LPR 6]]&gt;0,1,0)</f>
        <v>0</v>
      </c>
      <c r="CJ23" s="150">
        <f>IF(Tabel2[[#This Row],[LPR 7]]&gt;0,1,0)</f>
        <v>0</v>
      </c>
      <c r="CK23" s="150">
        <f>IF(Tabel2[[#This Row],[LPR 8]]&gt;0,1,0)</f>
        <v>0</v>
      </c>
      <c r="CL23" s="150">
        <f>IF(Tabel2[[#This Row],[LPR 9]]&gt;0,1,0)</f>
        <v>0</v>
      </c>
      <c r="CM23" s="150">
        <f>IF(Tabel2[[#This Row],[LPR 10]]&gt;0,1,0)</f>
        <v>0</v>
      </c>
      <c r="CN23" s="150">
        <f>SUM(Tabel7[[#This Row],[sep]:[jun]])</f>
        <v>0</v>
      </c>
      <c r="CO23" s="22" t="str">
        <f t="shared" si="1"/>
        <v/>
      </c>
      <c r="CP23" s="22" t="str">
        <f t="shared" si="2"/>
        <v/>
      </c>
      <c r="CQ23" s="22" t="str">
        <f t="shared" si="3"/>
        <v/>
      </c>
      <c r="CR23" s="22" t="str">
        <f t="shared" si="4"/>
        <v/>
      </c>
      <c r="CS23" s="22" t="str">
        <f t="shared" si="5"/>
        <v/>
      </c>
    </row>
    <row r="24" spans="1:97" x14ac:dyDescent="0.3">
      <c r="A24" s="22" t="s">
        <v>169</v>
      </c>
      <c r="B24" s="22" t="s">
        <v>778</v>
      </c>
      <c r="D24" s="22" t="s">
        <v>137</v>
      </c>
      <c r="E24" t="s">
        <v>172</v>
      </c>
      <c r="F24" s="22">
        <v>119943</v>
      </c>
      <c r="G24" s="25" t="s">
        <v>171</v>
      </c>
      <c r="H24" s="23">
        <f>Tabel2[[#This Row],[pnt t/m 2021/22]]+Tabel2[[#This Row],[pnt 2022/2023]]</f>
        <v>98.75</v>
      </c>
      <c r="I24">
        <v>2013</v>
      </c>
      <c r="J24">
        <v>2022</v>
      </c>
      <c r="K24" s="24">
        <f>Tabel2[[#This Row],[ijkdatum]]-Tabel2[[#This Row],[Geboren]]</f>
        <v>9</v>
      </c>
      <c r="L24" s="26">
        <f>Tabel2[[#This Row],[TTL 1]]+Tabel2[[#This Row],[TTL 2]]+Tabel2[[#This Row],[TTL 3]]+Tabel2[[#This Row],[TTL 4]]+Tabel2[[#This Row],[TTL 5]]+Tabel2[[#This Row],[TTL 6]]+Tabel2[[#This Row],[TTL 7]]+Tabel2[[#This Row],[TTL 8]]+Tabel2[[#This Row],[TTL 9]]+Tabel2[[#This Row],[TTL 10]]</f>
        <v>0</v>
      </c>
      <c r="M24" s="153">
        <v>98.75</v>
      </c>
      <c r="O24">
        <v>1</v>
      </c>
      <c r="S24" s="153">
        <f>SUM(Tabel2[[#This Row],[V 1]]*10+Tabel2[[#This Row],[GT 1]])/Tabel2[[#This Row],[AW 1]]*10+Tabel2[[#This Row],[BONUS 1]]</f>
        <v>0</v>
      </c>
      <c r="U24">
        <v>1</v>
      </c>
      <c r="Y24" s="153">
        <f>SUM(Tabel2[[#This Row],[V 2]]*10+Tabel2[[#This Row],[GT 2]])/Tabel2[[#This Row],[AW 2]]*10+Tabel2[[#This Row],[BONUS 2]]</f>
        <v>0</v>
      </c>
      <c r="AA24">
        <v>1</v>
      </c>
      <c r="AE24" s="153">
        <f>SUM(Tabel2[[#This Row],[V 3]]*10+Tabel2[[#This Row],[GT 3]])/Tabel2[[#This Row],[AW 3]]*10+Tabel2[[#This Row],[BONUS 3]]</f>
        <v>0</v>
      </c>
      <c r="AG24">
        <v>1</v>
      </c>
      <c r="AK24" s="153">
        <f>SUM(Tabel2[[#This Row],[V 4]]*10+Tabel2[[#This Row],[GT 4]])/Tabel2[[#This Row],[AW 4]]*10+Tabel2[[#This Row],[BONUS 4]]</f>
        <v>0</v>
      </c>
      <c r="AM24">
        <v>1</v>
      </c>
      <c r="AQ24" s="153">
        <f>SUM(Tabel2[[#This Row],[V 5]]*10+Tabel2[[#This Row],[GT 5]])/Tabel2[[#This Row],[AW 5]]*10+Tabel2[[#This Row],[BONUS 5]]</f>
        <v>0</v>
      </c>
      <c r="AS24">
        <v>1</v>
      </c>
      <c r="AW24" s="153">
        <f>SUM(Tabel2[[#This Row],[V 6]]*10+Tabel2[[#This Row],[GT 6]])/Tabel2[[#This Row],[AW 6]]*10+Tabel2[[#This Row],[BONUS 6]]</f>
        <v>0</v>
      </c>
      <c r="AY24">
        <v>1</v>
      </c>
      <c r="BC24" s="153">
        <f>SUM(Tabel2[[#This Row],[V 7]]*10+Tabel2[[#This Row],[GT 7]])/Tabel2[[#This Row],[AW 7]]*10+Tabel2[[#This Row],[BONUS 7]]</f>
        <v>0</v>
      </c>
      <c r="BE24">
        <v>1</v>
      </c>
      <c r="BI24" s="153">
        <f>SUM(Tabel2[[#This Row],[V 8]]*10+Tabel2[[#This Row],[GT 8]])/Tabel2[[#This Row],[AW 8]]*10+Tabel2[[#This Row],[BONUS 8]]</f>
        <v>0</v>
      </c>
      <c r="BK24">
        <v>1</v>
      </c>
      <c r="BO24" s="15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 s="22">
        <v>0</v>
      </c>
      <c r="BX24" s="22">
        <f>Tabel2[[#This Row],[Diploma]]-Tabel2[[#This Row],[Uitgeschreven]]</f>
        <v>0</v>
      </c>
      <c r="BY24" s="155" t="str">
        <f>IF(BX24=0,"geen actie",CONCATENATE("diploma uitschrijven: ",BV24," punten"))</f>
        <v>geen actie</v>
      </c>
      <c r="CA24" s="150">
        <f>Tabel2[[#This Row],[pnt t/m 2021/22]]</f>
        <v>98.75</v>
      </c>
      <c r="CB24" s="150">
        <f>Tabel2[[#This Row],[pnt 2022/2023]]</f>
        <v>0</v>
      </c>
      <c r="CC24" s="150">
        <f t="shared" si="6"/>
        <v>98.75</v>
      </c>
      <c r="CD24" s="150">
        <f>IF(Tabel2[[#This Row],[LPR 1]]&gt;0,1,0)</f>
        <v>0</v>
      </c>
      <c r="CE24" s="150">
        <f>IF(Tabel2[[#This Row],[LPR 2]]&gt;0,1,0)</f>
        <v>0</v>
      </c>
      <c r="CF24" s="150">
        <f>IF(Tabel2[[#This Row],[LPR 3]]&gt;0,1,0)</f>
        <v>0</v>
      </c>
      <c r="CG24" s="150">
        <f>IF(Tabel2[[#This Row],[LPR 4]]&gt;0,1,0)</f>
        <v>0</v>
      </c>
      <c r="CH24" s="150">
        <f>IF(Tabel2[[#This Row],[LPR 5]]&gt;0,1,0)</f>
        <v>0</v>
      </c>
      <c r="CI24" s="150">
        <f>IF(Tabel2[[#This Row],[LPR 6]]&gt;0,1,0)</f>
        <v>0</v>
      </c>
      <c r="CJ24" s="150">
        <f>IF(Tabel2[[#This Row],[LPR 7]]&gt;0,1,0)</f>
        <v>0</v>
      </c>
      <c r="CK24" s="150">
        <f>IF(Tabel2[[#This Row],[LPR 8]]&gt;0,1,0)</f>
        <v>0</v>
      </c>
      <c r="CL24" s="150">
        <f>IF(Tabel2[[#This Row],[LPR 9]]&gt;0,1,0)</f>
        <v>0</v>
      </c>
      <c r="CM24" s="150">
        <f>IF(Tabel2[[#This Row],[LPR 10]]&gt;0,1,0)</f>
        <v>0</v>
      </c>
      <c r="CN24" s="150">
        <f>SUM(Tabel7[[#This Row],[sep]:[jun]])</f>
        <v>0</v>
      </c>
      <c r="CO24" s="22" t="str">
        <f t="shared" si="1"/>
        <v/>
      </c>
      <c r="CP24" s="22" t="str">
        <f t="shared" si="2"/>
        <v/>
      </c>
      <c r="CQ24" s="22" t="str">
        <f t="shared" si="3"/>
        <v/>
      </c>
      <c r="CR24" s="22" t="str">
        <f t="shared" si="4"/>
        <v/>
      </c>
      <c r="CS24" s="22" t="str">
        <f t="shared" si="5"/>
        <v/>
      </c>
    </row>
    <row r="25" spans="1:97" x14ac:dyDescent="0.3">
      <c r="A25" s="22" t="s">
        <v>135</v>
      </c>
      <c r="B25" s="22" t="s">
        <v>778</v>
      </c>
      <c r="D25" s="22" t="s">
        <v>137</v>
      </c>
      <c r="E25" t="s">
        <v>173</v>
      </c>
      <c r="F25" s="22">
        <v>118446</v>
      </c>
      <c r="G25" s="25" t="s">
        <v>174</v>
      </c>
      <c r="H25" s="142">
        <f>Tabel2[[#This Row],[pnt t/m 2021/22]]+Tabel2[[#This Row],[pnt 2022/2023]]</f>
        <v>183.90909090909091</v>
      </c>
      <c r="I25">
        <v>2009</v>
      </c>
      <c r="J25">
        <v>2022</v>
      </c>
      <c r="K25" s="24">
        <f>Tabel2[[#This Row],[ijkdatum]]-Tabel2[[#This Row],[Geboren]]</f>
        <v>13</v>
      </c>
      <c r="L25" s="26">
        <f>Tabel2[[#This Row],[TTL 1]]+Tabel2[[#This Row],[TTL 2]]+Tabel2[[#This Row],[TTL 3]]+Tabel2[[#This Row],[TTL 4]]+Tabel2[[#This Row],[TTL 5]]+Tabel2[[#This Row],[TTL 6]]+Tabel2[[#This Row],[TTL 7]]+Tabel2[[#This Row],[TTL 8]]+Tabel2[[#This Row],[TTL 9]]+Tabel2[[#This Row],[TTL 10]]</f>
        <v>0</v>
      </c>
      <c r="M25" s="141">
        <v>183.90909090909091</v>
      </c>
      <c r="O25">
        <v>1</v>
      </c>
      <c r="S25" s="23">
        <f>SUM(Tabel2[[#This Row],[V 1]]*10+Tabel2[[#This Row],[GT 1]])/Tabel2[[#This Row],[AW 1]]*10+Tabel2[[#This Row],[BONUS 1]]</f>
        <v>0</v>
      </c>
      <c r="U25">
        <v>1</v>
      </c>
      <c r="Y25" s="23">
        <f>SUM(Tabel2[[#This Row],[V 2]]*10+Tabel2[[#This Row],[GT 2]])/Tabel2[[#This Row],[AW 2]]*10+Tabel2[[#This Row],[BONUS 2]]</f>
        <v>0</v>
      </c>
      <c r="AA25">
        <v>1</v>
      </c>
      <c r="AE25" s="23">
        <f>SUM(Tabel2[[#This Row],[V 3]]*10+Tabel2[[#This Row],[GT 3]])/Tabel2[[#This Row],[AW 3]]*10+Tabel2[[#This Row],[BONUS 3]]</f>
        <v>0</v>
      </c>
      <c r="AG25">
        <v>1</v>
      </c>
      <c r="AK25" s="23">
        <f>SUM(Tabel2[[#This Row],[V 4]]*10+Tabel2[[#This Row],[GT 4]])/Tabel2[[#This Row],[AW 4]]*10+Tabel2[[#This Row],[BONUS 4]]</f>
        <v>0</v>
      </c>
      <c r="AM25">
        <v>1</v>
      </c>
      <c r="AQ25" s="23">
        <f>SUM(Tabel2[[#This Row],[V 5]]*10+Tabel2[[#This Row],[GT 5]])/Tabel2[[#This Row],[AW 5]]*10+Tabel2[[#This Row],[BONUS 5]]</f>
        <v>0</v>
      </c>
      <c r="AS25">
        <v>1</v>
      </c>
      <c r="AW25" s="23">
        <f>SUM(Tabel2[[#This Row],[V 6]]*10+Tabel2[[#This Row],[GT 6]])/Tabel2[[#This Row],[AW 6]]*10+Tabel2[[#This Row],[BONUS 6]]</f>
        <v>0</v>
      </c>
      <c r="AY25">
        <v>1</v>
      </c>
      <c r="BC25" s="23">
        <f>SUM(Tabel2[[#This Row],[V 7]]*10+Tabel2[[#This Row],[GT 7]])/Tabel2[[#This Row],[AW 7]]*10+Tabel2[[#This Row],[BONUS 7]]</f>
        <v>0</v>
      </c>
      <c r="BE25">
        <v>1</v>
      </c>
      <c r="BI25" s="23">
        <f>SUM(Tabel2[[#This Row],[V 8]]*10+Tabel2[[#This Row],[GT 8]])/Tabel2[[#This Row],[AW 8]]*10+Tabel2[[#This Row],[BONUS 8]]</f>
        <v>0</v>
      </c>
      <c r="BK25">
        <v>1</v>
      </c>
      <c r="BO25" s="2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30">
        <f>Tabel2[[#This Row],[Diploma]]-Tabel2[[#This Row],[Uitgeschreven]]</f>
        <v>0</v>
      </c>
      <c r="BY25" s="2" t="str">
        <f>IF(BX25=0,"geen actie",CONCATENATE("diploma uitschrijven: ",BV25," punten"))</f>
        <v>geen actie</v>
      </c>
      <c r="CA25" s="150">
        <f>Tabel2[[#This Row],[pnt t/m 2021/22]]</f>
        <v>183.90909090909091</v>
      </c>
      <c r="CB25" s="150">
        <f>Tabel2[[#This Row],[pnt 2022/2023]]</f>
        <v>0</v>
      </c>
      <c r="CC25" s="150">
        <f t="shared" si="6"/>
        <v>183.90909090909091</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1"/>
        <v/>
      </c>
      <c r="CP25" s="22" t="str">
        <f t="shared" si="2"/>
        <v/>
      </c>
      <c r="CQ25" s="22" t="str">
        <f t="shared" si="3"/>
        <v/>
      </c>
      <c r="CR25" s="22" t="str">
        <f t="shared" si="4"/>
        <v/>
      </c>
      <c r="CS25" s="22" t="str">
        <f t="shared" si="5"/>
        <v/>
      </c>
    </row>
    <row r="26" spans="1:97" x14ac:dyDescent="0.3">
      <c r="A26" s="22" t="s">
        <v>145</v>
      </c>
      <c r="B26" s="22" t="s">
        <v>778</v>
      </c>
      <c r="D26" s="22" t="s">
        <v>783</v>
      </c>
      <c r="E26" t="s">
        <v>175</v>
      </c>
      <c r="F26" s="22">
        <v>119755</v>
      </c>
      <c r="G26" s="25" t="s">
        <v>147</v>
      </c>
      <c r="H26" s="142">
        <f>Tabel2[[#This Row],[pnt t/m 2021/22]]+Tabel2[[#This Row],[pnt 2022/2023]]</f>
        <v>732.1230158730159</v>
      </c>
      <c r="I26">
        <v>2011</v>
      </c>
      <c r="J26">
        <v>2022</v>
      </c>
      <c r="K26" s="24">
        <f>Tabel2[[#This Row],[ijkdatum]]-Tabel2[[#This Row],[Geboren]]</f>
        <v>11</v>
      </c>
      <c r="L26" s="26">
        <f>Tabel2[[#This Row],[TTL 1]]+Tabel2[[#This Row],[TTL 2]]+Tabel2[[#This Row],[TTL 3]]+Tabel2[[#This Row],[TTL 4]]+Tabel2[[#This Row],[TTL 5]]+Tabel2[[#This Row],[TTL 6]]+Tabel2[[#This Row],[TTL 7]]+Tabel2[[#This Row],[TTL 8]]+Tabel2[[#This Row],[TTL 9]]+Tabel2[[#This Row],[TTL 10]]</f>
        <v>61.25</v>
      </c>
      <c r="M26" s="141">
        <v>670.8730158730159</v>
      </c>
      <c r="N26">
        <v>10</v>
      </c>
      <c r="O26">
        <v>16</v>
      </c>
      <c r="P26">
        <v>5</v>
      </c>
      <c r="Q26">
        <v>48</v>
      </c>
      <c r="S26" s="23">
        <f>SUM(Tabel2[[#This Row],[V 1]]*10+Tabel2[[#This Row],[GT 1]])/Tabel2[[#This Row],[AW 1]]*10+Tabel2[[#This Row],[BONUS 1]]</f>
        <v>61.25</v>
      </c>
      <c r="U26">
        <v>1</v>
      </c>
      <c r="Y26" s="23">
        <f>SUM(Tabel2[[#This Row],[V 2]]*10+Tabel2[[#This Row],[GT 2]])/Tabel2[[#This Row],[AW 2]]*10+Tabel2[[#This Row],[BONUS 2]]</f>
        <v>0</v>
      </c>
      <c r="AA26">
        <v>1</v>
      </c>
      <c r="AE26" s="23">
        <f>SUM(Tabel2[[#This Row],[V 3]]*10+Tabel2[[#This Row],[GT 3]])/Tabel2[[#This Row],[AW 3]]*10+Tabel2[[#This Row],[BONUS 3]]</f>
        <v>0</v>
      </c>
      <c r="AG26">
        <v>1</v>
      </c>
      <c r="AK26" s="23">
        <f>SUM(Tabel2[[#This Row],[V 4]]*10+Tabel2[[#This Row],[GT 4]])/Tabel2[[#This Row],[AW 4]]*10+Tabel2[[#This Row],[BONUS 4]]</f>
        <v>0</v>
      </c>
      <c r="AM26">
        <v>1</v>
      </c>
      <c r="AQ26" s="23">
        <f>SUM(Tabel2[[#This Row],[V 5]]*10+Tabel2[[#This Row],[GT 5]])/Tabel2[[#This Row],[AW 5]]*10+Tabel2[[#This Row],[BONUS 5]]</f>
        <v>0</v>
      </c>
      <c r="AS26">
        <v>1</v>
      </c>
      <c r="AW26" s="23">
        <f>SUM(Tabel2[[#This Row],[V 6]]*10+Tabel2[[#This Row],[GT 6]])/Tabel2[[#This Row],[AW 6]]*10+Tabel2[[#This Row],[BONUS 6]]</f>
        <v>0</v>
      </c>
      <c r="AY26">
        <v>1</v>
      </c>
      <c r="BC26" s="23">
        <f>SUM(Tabel2[[#This Row],[V 7]]*10+Tabel2[[#This Row],[GT 7]])/Tabel2[[#This Row],[AW 7]]*10+Tabel2[[#This Row],[BONUS 7]]</f>
        <v>0</v>
      </c>
      <c r="BE26">
        <v>1</v>
      </c>
      <c r="BI26" s="23">
        <f>SUM(Tabel2[[#This Row],[V 8]]*10+Tabel2[[#This Row],[GT 8]])/Tabel2[[#This Row],[AW 8]]*10+Tabel2[[#This Row],[BONUS 8]]</f>
        <v>0</v>
      </c>
      <c r="BK26">
        <v>1</v>
      </c>
      <c r="BO26" s="23">
        <f>SUM(Tabel2[[#This Row],[V 9]]*10+Tabel2[[#This Row],[GT 9]])/Tabel2[[#This Row],[AW 9]]*10+Tabel2[[#This Row],[BONUS 9]]</f>
        <v>0</v>
      </c>
      <c r="BQ26">
        <v>1</v>
      </c>
      <c r="BU26" s="23">
        <f>SUM(Tabel2[[#This Row],[V 10]]*10+Tabel2[[#This Row],[GT 10]])/Tabel2[[#This Row],[AW 10]]*10+Tabel2[[#This Row],[BONUS 10]]</f>
        <v>0</v>
      </c>
      <c r="BV2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6" s="22">
        <v>500</v>
      </c>
      <c r="BX26" s="30">
        <f>Tabel2[[#This Row],[Diploma]]-Tabel2[[#This Row],[Uitgeschreven]]</f>
        <v>0</v>
      </c>
      <c r="BY26" s="2" t="str">
        <f>IF(BX26=0,"geen actie",CONCATENATE("diploma uitschrijven: ",BV26," punten"))</f>
        <v>geen actie</v>
      </c>
      <c r="CA26" s="150">
        <f>Tabel2[[#This Row],[pnt t/m 2021/22]]</f>
        <v>670.8730158730159</v>
      </c>
      <c r="CB26" s="150">
        <f>Tabel2[[#This Row],[pnt 2022/2023]]</f>
        <v>61.25</v>
      </c>
      <c r="CC26" s="150">
        <f t="shared" si="6"/>
        <v>732.1230158730159</v>
      </c>
      <c r="CD26" s="150">
        <f>IF(Tabel2[[#This Row],[LPR 1]]&gt;0,1,0)</f>
        <v>1</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1</v>
      </c>
      <c r="CO26" s="22" t="str">
        <f t="shared" si="1"/>
        <v/>
      </c>
      <c r="CP26" s="22" t="str">
        <f t="shared" si="2"/>
        <v/>
      </c>
      <c r="CQ26" s="22" t="str">
        <f t="shared" si="3"/>
        <v/>
      </c>
      <c r="CR26" s="22" t="str">
        <f t="shared" si="4"/>
        <v/>
      </c>
      <c r="CS26" s="22" t="str">
        <f t="shared" si="5"/>
        <v/>
      </c>
    </row>
    <row r="27" spans="1:97" x14ac:dyDescent="0.3">
      <c r="A27" s="22" t="s">
        <v>153</v>
      </c>
      <c r="B27" s="22" t="s">
        <v>778</v>
      </c>
      <c r="D27" s="22" t="s">
        <v>783</v>
      </c>
      <c r="E27" t="s">
        <v>176</v>
      </c>
      <c r="F27" s="22">
        <v>120524</v>
      </c>
      <c r="G27" s="25" t="s">
        <v>177</v>
      </c>
      <c r="H27" s="142">
        <f>Tabel2[[#This Row],[pnt t/m 2021/22]]+Tabel2[[#This Row],[pnt 2022/2023]]</f>
        <v>498</v>
      </c>
      <c r="I27">
        <v>2012</v>
      </c>
      <c r="J27">
        <v>2022</v>
      </c>
      <c r="K27" s="24">
        <f>Tabel2[[#This Row],[ijkdatum]]-Tabel2[[#This Row],[Geboren]]</f>
        <v>10</v>
      </c>
      <c r="L27" s="26">
        <f>Tabel2[[#This Row],[TTL 1]]+Tabel2[[#This Row],[TTL 2]]+Tabel2[[#This Row],[TTL 3]]+Tabel2[[#This Row],[TTL 4]]+Tabel2[[#This Row],[TTL 5]]+Tabel2[[#This Row],[TTL 6]]+Tabel2[[#This Row],[TTL 7]]+Tabel2[[#This Row],[TTL 8]]+Tabel2[[#This Row],[TTL 9]]+Tabel2[[#This Row],[TTL 10]]</f>
        <v>88</v>
      </c>
      <c r="M27" s="153">
        <v>410</v>
      </c>
      <c r="N27">
        <v>4</v>
      </c>
      <c r="O27">
        <v>10</v>
      </c>
      <c r="P27">
        <v>1</v>
      </c>
      <c r="Q27">
        <v>23</v>
      </c>
      <c r="S27" s="153">
        <f>SUM(Tabel2[[#This Row],[V 1]]*10+Tabel2[[#This Row],[GT 1]])/Tabel2[[#This Row],[AW 1]]*10+Tabel2[[#This Row],[BONUS 1]]</f>
        <v>33</v>
      </c>
      <c r="T27">
        <v>3</v>
      </c>
      <c r="U27">
        <v>10</v>
      </c>
      <c r="V27">
        <v>2</v>
      </c>
      <c r="W27">
        <v>35</v>
      </c>
      <c r="Y27" s="153">
        <f>SUM(Tabel2[[#This Row],[V 2]]*10+Tabel2[[#This Row],[GT 2]])/Tabel2[[#This Row],[AW 2]]*10+Tabel2[[#This Row],[BONUS 2]]</f>
        <v>55</v>
      </c>
      <c r="AA27">
        <v>1</v>
      </c>
      <c r="AE27" s="153">
        <f>SUM(Tabel2[[#This Row],[V 3]]*10+Tabel2[[#This Row],[GT 3]])/Tabel2[[#This Row],[AW 3]]*10+Tabel2[[#This Row],[BONUS 3]]</f>
        <v>0</v>
      </c>
      <c r="AG27">
        <v>1</v>
      </c>
      <c r="AK27" s="153">
        <f>SUM(Tabel2[[#This Row],[V 4]]*10+Tabel2[[#This Row],[GT 4]])/Tabel2[[#This Row],[AW 4]]*10+Tabel2[[#This Row],[BONUS 4]]</f>
        <v>0</v>
      </c>
      <c r="AM27">
        <v>1</v>
      </c>
      <c r="AQ27" s="153">
        <f>SUM(Tabel2[[#This Row],[V 5]]*10+Tabel2[[#This Row],[GT 5]])/Tabel2[[#This Row],[AW 5]]*10+Tabel2[[#This Row],[BONUS 5]]</f>
        <v>0</v>
      </c>
      <c r="AS27">
        <v>1</v>
      </c>
      <c r="AW27" s="153">
        <f>SUM(Tabel2[[#This Row],[V 6]]*10+Tabel2[[#This Row],[GT 6]])/Tabel2[[#This Row],[AW 6]]*10+Tabel2[[#This Row],[BONUS 6]]</f>
        <v>0</v>
      </c>
      <c r="AY27">
        <v>1</v>
      </c>
      <c r="BC27" s="23">
        <f>SUM(Tabel2[[#This Row],[V 7]]*10+Tabel2[[#This Row],[GT 7]])/Tabel2[[#This Row],[AW 7]]*10+Tabel2[[#This Row],[BONUS 7]]</f>
        <v>0</v>
      </c>
      <c r="BE27">
        <v>1</v>
      </c>
      <c r="BI27" s="153">
        <f>SUM(Tabel2[[#This Row],[V 8]]*10+Tabel2[[#This Row],[GT 8]])/Tabel2[[#This Row],[AW 8]]*10+Tabel2[[#This Row],[BONUS 8]]</f>
        <v>0</v>
      </c>
      <c r="BK27">
        <v>1</v>
      </c>
      <c r="BO27" s="153">
        <f>SUM(Tabel2[[#This Row],[V 9]]*10+Tabel2[[#This Row],[GT 9]])/Tabel2[[#This Row],[AW 9]]*10+Tabel2[[#This Row],[BONUS 9]]</f>
        <v>0</v>
      </c>
      <c r="BQ27">
        <v>1</v>
      </c>
      <c r="BU27" s="23">
        <f>SUM(Tabel2[[#This Row],[V 10]]*10+Tabel2[[#This Row],[GT 10]])/Tabel2[[#This Row],[AW 10]]*10+Tabel2[[#This Row],[BONUS 10]]</f>
        <v>0</v>
      </c>
      <c r="BV2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7" s="22">
        <v>250</v>
      </c>
      <c r="BX27" s="22">
        <f>Tabel2[[#This Row],[Diploma]]-Tabel2[[#This Row],[Uitgeschreven]]</f>
        <v>0</v>
      </c>
      <c r="BY27" s="155" t="str">
        <f>IF(BX27=0,"geen actie",CONCATENATE("diploma uitschrijven: ",BV27," punten"))</f>
        <v>geen actie</v>
      </c>
      <c r="CA27" s="150">
        <f>Tabel2[[#This Row],[pnt t/m 2021/22]]</f>
        <v>410</v>
      </c>
      <c r="CB27" s="150">
        <f>Tabel2[[#This Row],[pnt 2022/2023]]</f>
        <v>88</v>
      </c>
      <c r="CC27" s="150">
        <f t="shared" si="6"/>
        <v>498</v>
      </c>
      <c r="CD27" s="150">
        <f>IF(Tabel2[[#This Row],[LPR 1]]&gt;0,1,0)</f>
        <v>1</v>
      </c>
      <c r="CE27" s="150">
        <f>IF(Tabel2[[#This Row],[LPR 2]]&gt;0,1,0)</f>
        <v>1</v>
      </c>
      <c r="CF27" s="150">
        <f>IF(Tabel2[[#This Row],[LPR 3]]&gt;0,1,0)</f>
        <v>0</v>
      </c>
      <c r="CG27" s="150">
        <f>IF(Tabel2[[#This Row],[LPR 4]]&gt;0,1,0)</f>
        <v>0</v>
      </c>
      <c r="CH27" s="150">
        <f>IF(Tabel2[[#This Row],[LPR 5]]&gt;0,1,0)</f>
        <v>0</v>
      </c>
      <c r="CI27" s="150">
        <f>IF(Tabel2[[#This Row],[LPR 6]]&gt;0,1,0)</f>
        <v>0</v>
      </c>
      <c r="CJ27" s="150">
        <f>IF(Tabel2[[#This Row],[LPR 7]]&gt;0,1,0)</f>
        <v>0</v>
      </c>
      <c r="CK27" s="150">
        <f>IF(Tabel2[[#This Row],[LPR 8]]&gt;0,1,0)</f>
        <v>0</v>
      </c>
      <c r="CL27" s="150">
        <f>IF(Tabel2[[#This Row],[LPR 9]]&gt;0,1,0)</f>
        <v>0</v>
      </c>
      <c r="CM27" s="150">
        <f>IF(Tabel2[[#This Row],[LPR 10]]&gt;0,1,0)</f>
        <v>0</v>
      </c>
      <c r="CN27" s="150">
        <f>SUM(Tabel7[[#This Row],[sep]:[jun]])</f>
        <v>2</v>
      </c>
      <c r="CO27" s="22" t="str">
        <f t="shared" si="1"/>
        <v/>
      </c>
      <c r="CP27" s="22" t="str">
        <f t="shared" si="2"/>
        <v/>
      </c>
      <c r="CQ27" s="22" t="str">
        <f t="shared" si="3"/>
        <v/>
      </c>
      <c r="CR27" s="22" t="str">
        <f t="shared" si="4"/>
        <v/>
      </c>
      <c r="CS27" s="22" t="str">
        <f t="shared" si="5"/>
        <v/>
      </c>
    </row>
    <row r="28" spans="1:97" x14ac:dyDescent="0.3">
      <c r="A28" s="22" t="s">
        <v>140</v>
      </c>
      <c r="B28" s="22" t="s">
        <v>779</v>
      </c>
      <c r="D28" s="22" t="s">
        <v>137</v>
      </c>
      <c r="E28" t="s">
        <v>178</v>
      </c>
      <c r="F28" s="22">
        <v>119706</v>
      </c>
      <c r="G28" s="25" t="s">
        <v>151</v>
      </c>
      <c r="H28" s="142">
        <f>Tabel2[[#This Row],[pnt t/m 2021/22]]+Tabel2[[#This Row],[pnt 2022/2023]]</f>
        <v>846.80158730158735</v>
      </c>
      <c r="I28">
        <v>2012</v>
      </c>
      <c r="J28">
        <v>2022</v>
      </c>
      <c r="K28" s="24">
        <f>Tabel2[[#This Row],[ijkdatum]]-Tabel2[[#This Row],[Geboren]]</f>
        <v>10</v>
      </c>
      <c r="L28" s="26">
        <f>Tabel2[[#This Row],[TTL 1]]+Tabel2[[#This Row],[TTL 2]]+Tabel2[[#This Row],[TTL 3]]+Tabel2[[#This Row],[TTL 4]]+Tabel2[[#This Row],[TTL 5]]+Tabel2[[#This Row],[TTL 6]]+Tabel2[[#This Row],[TTL 7]]+Tabel2[[#This Row],[TTL 8]]+Tabel2[[#This Row],[TTL 9]]+Tabel2[[#This Row],[TTL 10]]</f>
        <v>68.571428571428569</v>
      </c>
      <c r="M28" s="141">
        <v>778.23015873015879</v>
      </c>
      <c r="O28">
        <v>1</v>
      </c>
      <c r="S28" s="23">
        <f>SUM(Tabel2[[#This Row],[V 1]]*10+Tabel2[[#This Row],[GT 1]])/Tabel2[[#This Row],[AW 1]]*10+Tabel2[[#This Row],[BONUS 1]]</f>
        <v>0</v>
      </c>
      <c r="T28">
        <v>7</v>
      </c>
      <c r="U28">
        <v>7</v>
      </c>
      <c r="V28">
        <v>3</v>
      </c>
      <c r="W28">
        <v>18</v>
      </c>
      <c r="Y28" s="23">
        <f>SUM(Tabel2[[#This Row],[V 2]]*10+Tabel2[[#This Row],[GT 2]])/Tabel2[[#This Row],[AW 2]]*10+Tabel2[[#This Row],[BONUS 2]]</f>
        <v>68.571428571428569</v>
      </c>
      <c r="AA28">
        <v>1</v>
      </c>
      <c r="AE28" s="23">
        <f>SUM(Tabel2[[#This Row],[V 3]]*10+Tabel2[[#This Row],[GT 3]])/Tabel2[[#This Row],[AW 3]]*10+Tabel2[[#This Row],[BONUS 3]]</f>
        <v>0</v>
      </c>
      <c r="AG28">
        <v>1</v>
      </c>
      <c r="AK28" s="23">
        <f>SUM(Tabel2[[#This Row],[V 4]]*10+Tabel2[[#This Row],[GT 4]])/Tabel2[[#This Row],[AW 4]]*10+Tabel2[[#This Row],[BONUS 4]]</f>
        <v>0</v>
      </c>
      <c r="AM28">
        <v>1</v>
      </c>
      <c r="AQ28" s="23">
        <f>SUM(Tabel2[[#This Row],[V 5]]*10+Tabel2[[#This Row],[GT 5]])/Tabel2[[#This Row],[AW 5]]*10+Tabel2[[#This Row],[BONUS 5]]</f>
        <v>0</v>
      </c>
      <c r="AS28">
        <v>1</v>
      </c>
      <c r="AW28" s="23">
        <f>SUM(Tabel2[[#This Row],[V 6]]*10+Tabel2[[#This Row],[GT 6]])/Tabel2[[#This Row],[AW 6]]*10+Tabel2[[#This Row],[BONUS 6]]</f>
        <v>0</v>
      </c>
      <c r="AY28">
        <v>1</v>
      </c>
      <c r="BC28" s="23">
        <f>SUM(Tabel2[[#This Row],[V 7]]*10+Tabel2[[#This Row],[GT 7]])/Tabel2[[#This Row],[AW 7]]*10+Tabel2[[#This Row],[BONUS 7]]</f>
        <v>0</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8" s="22">
        <v>750</v>
      </c>
      <c r="BX28" s="30">
        <f>Tabel2[[#This Row],[Diploma]]-Tabel2[[#This Row],[Uitgeschreven]]</f>
        <v>0</v>
      </c>
      <c r="BY28" s="2" t="str">
        <f>IF(BX28=0,"geen actie",CONCATENATE("diploma uitschrijven: ",BV28," punten"))</f>
        <v>geen actie</v>
      </c>
      <c r="CA28" s="150">
        <f>Tabel2[[#This Row],[pnt t/m 2021/22]]</f>
        <v>778.23015873015879</v>
      </c>
      <c r="CB28" s="150">
        <f>Tabel2[[#This Row],[pnt 2022/2023]]</f>
        <v>68.571428571428569</v>
      </c>
      <c r="CC28" s="150">
        <f t="shared" si="6"/>
        <v>846.80158730158735</v>
      </c>
      <c r="CD28" s="150">
        <f>IF(Tabel2[[#This Row],[LPR 1]]&gt;0,1,0)</f>
        <v>0</v>
      </c>
      <c r="CE28" s="150">
        <f>IF(Tabel2[[#This Row],[LPR 2]]&gt;0,1,0)</f>
        <v>1</v>
      </c>
      <c r="CF28" s="150">
        <f>IF(Tabel2[[#This Row],[LPR 3]]&gt;0,1,0)</f>
        <v>0</v>
      </c>
      <c r="CG28" s="150">
        <f>IF(Tabel2[[#This Row],[LPR 4]]&gt;0,1,0)</f>
        <v>0</v>
      </c>
      <c r="CH28" s="150">
        <f>IF(Tabel2[[#This Row],[LPR 5]]&gt;0,1,0)</f>
        <v>0</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1</v>
      </c>
      <c r="CO28" s="22" t="str">
        <f t="shared" si="1"/>
        <v/>
      </c>
      <c r="CP28" s="22" t="str">
        <f t="shared" si="2"/>
        <v/>
      </c>
      <c r="CQ28" s="22" t="str">
        <f t="shared" si="3"/>
        <v/>
      </c>
      <c r="CR28" s="22" t="str">
        <f t="shared" si="4"/>
        <v/>
      </c>
      <c r="CS28" s="22" t="str">
        <f t="shared" si="5"/>
        <v/>
      </c>
    </row>
    <row r="29" spans="1:97" x14ac:dyDescent="0.3">
      <c r="A29" s="22" t="s">
        <v>143</v>
      </c>
      <c r="B29" s="22" t="s">
        <v>779</v>
      </c>
      <c r="D29" s="22" t="s">
        <v>137</v>
      </c>
      <c r="E29" t="s">
        <v>179</v>
      </c>
      <c r="F29" s="22">
        <v>120160</v>
      </c>
      <c r="G29" s="25" t="s">
        <v>180</v>
      </c>
      <c r="H29" s="23">
        <f>Tabel2[[#This Row],[pnt t/m 2021/22]]+Tabel2[[#This Row],[pnt 2022/2023]]</f>
        <v>253.75</v>
      </c>
      <c r="I29">
        <v>2008</v>
      </c>
      <c r="J29">
        <v>2022</v>
      </c>
      <c r="K29" s="24">
        <f>Tabel2[[#This Row],[ijkdatum]]-Tabel2[[#This Row],[Geboren]]</f>
        <v>14</v>
      </c>
      <c r="L29" s="26">
        <f>Tabel2[[#This Row],[TTL 1]]+Tabel2[[#This Row],[TTL 2]]+Tabel2[[#This Row],[TTL 3]]+Tabel2[[#This Row],[TTL 4]]+Tabel2[[#This Row],[TTL 5]]+Tabel2[[#This Row],[TTL 6]]+Tabel2[[#This Row],[TTL 7]]+Tabel2[[#This Row],[TTL 8]]+Tabel2[[#This Row],[TTL 9]]+Tabel2[[#This Row],[TTL 10]]</f>
        <v>0</v>
      </c>
      <c r="M29" s="153">
        <v>253.75</v>
      </c>
      <c r="O29">
        <v>1</v>
      </c>
      <c r="S29" s="153">
        <f>SUM(Tabel2[[#This Row],[V 1]]*10+Tabel2[[#This Row],[GT 1]])/Tabel2[[#This Row],[AW 1]]*10+Tabel2[[#This Row],[BONUS 1]]</f>
        <v>0</v>
      </c>
      <c r="U29">
        <v>1</v>
      </c>
      <c r="Y29" s="153">
        <f>SUM(Tabel2[[#This Row],[V 2]]*10+Tabel2[[#This Row],[GT 2]])/Tabel2[[#This Row],[AW 2]]*10+Tabel2[[#This Row],[BONUS 2]]</f>
        <v>0</v>
      </c>
      <c r="AA29">
        <v>1</v>
      </c>
      <c r="AE29" s="153">
        <f>SUM(Tabel2[[#This Row],[V 3]]*10+Tabel2[[#This Row],[GT 3]])/Tabel2[[#This Row],[AW 3]]*10+Tabel2[[#This Row],[BONUS 3]]</f>
        <v>0</v>
      </c>
      <c r="AG29">
        <v>1</v>
      </c>
      <c r="AK29" s="153">
        <f>SUM(Tabel2[[#This Row],[V 4]]*10+Tabel2[[#This Row],[GT 4]])/Tabel2[[#This Row],[AW 4]]*10+Tabel2[[#This Row],[BONUS 4]]</f>
        <v>0</v>
      </c>
      <c r="AM29">
        <v>1</v>
      </c>
      <c r="AQ29" s="153">
        <f>SUM(Tabel2[[#This Row],[V 5]]*10+Tabel2[[#This Row],[GT 5]])/Tabel2[[#This Row],[AW 5]]*10+Tabel2[[#This Row],[BONUS 5]]</f>
        <v>0</v>
      </c>
      <c r="AS29">
        <v>1</v>
      </c>
      <c r="AW29" s="153">
        <f>SUM(Tabel2[[#This Row],[V 6]]*10+Tabel2[[#This Row],[GT 6]])/Tabel2[[#This Row],[AW 6]]*10+Tabel2[[#This Row],[BONUS 6]]</f>
        <v>0</v>
      </c>
      <c r="AY29">
        <v>1</v>
      </c>
      <c r="BC29" s="153">
        <f>SUM(Tabel2[[#This Row],[V 7]]*10+Tabel2[[#This Row],[GT 7]])/Tabel2[[#This Row],[AW 7]]*10+Tabel2[[#This Row],[BONUS 7]]</f>
        <v>0</v>
      </c>
      <c r="BE29">
        <v>1</v>
      </c>
      <c r="BI29" s="153">
        <f>SUM(Tabel2[[#This Row],[V 8]]*10+Tabel2[[#This Row],[GT 8]])/Tabel2[[#This Row],[AW 8]]*10+Tabel2[[#This Row],[BONUS 8]]</f>
        <v>0</v>
      </c>
      <c r="BK29">
        <v>1</v>
      </c>
      <c r="BO29" s="153">
        <f>SUM(Tabel2[[#This Row],[V 9]]*10+Tabel2[[#This Row],[GT 9]])/Tabel2[[#This Row],[AW 9]]*10+Tabel2[[#This Row],[BONUS 9]]</f>
        <v>0</v>
      </c>
      <c r="BQ29">
        <v>1</v>
      </c>
      <c r="BU29" s="23">
        <f>SUM(Tabel2[[#This Row],[V 10]]*10+Tabel2[[#This Row],[GT 10]])/Tabel2[[#This Row],[AW 10]]*10+Tabel2[[#This Row],[BONUS 10]]</f>
        <v>0</v>
      </c>
      <c r="BV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9" s="22">
        <v>250</v>
      </c>
      <c r="BX29" s="22">
        <f>Tabel2[[#This Row],[Diploma]]-Tabel2[[#This Row],[Uitgeschreven]]</f>
        <v>0</v>
      </c>
      <c r="BY29" s="155" t="str">
        <f>IF(BX29=0,"geen actie",CONCATENATE("diploma uitschrijven: ",BV29," punten"))</f>
        <v>geen actie</v>
      </c>
      <c r="CA29" s="150">
        <f>Tabel2[[#This Row],[pnt t/m 2021/22]]</f>
        <v>253.75</v>
      </c>
      <c r="CB29" s="150">
        <f>Tabel2[[#This Row],[pnt 2022/2023]]</f>
        <v>0</v>
      </c>
      <c r="CC29" s="150">
        <f t="shared" si="6"/>
        <v>253.75</v>
      </c>
      <c r="CD29" s="150">
        <f>IF(Tabel2[[#This Row],[LPR 1]]&gt;0,1,0)</f>
        <v>0</v>
      </c>
      <c r="CE29" s="150">
        <f>IF(Tabel2[[#This Row],[LPR 2]]&gt;0,1,0)</f>
        <v>0</v>
      </c>
      <c r="CF29" s="150">
        <f>IF(Tabel2[[#This Row],[LPR 3]]&gt;0,1,0)</f>
        <v>0</v>
      </c>
      <c r="CG29" s="150">
        <f>IF(Tabel2[[#This Row],[LPR 4]]&gt;0,1,0)</f>
        <v>0</v>
      </c>
      <c r="CH29" s="150">
        <f>IF(Tabel2[[#This Row],[LPR 5]]&gt;0,1,0)</f>
        <v>0</v>
      </c>
      <c r="CI29" s="150">
        <f>IF(Tabel2[[#This Row],[LPR 6]]&gt;0,1,0)</f>
        <v>0</v>
      </c>
      <c r="CJ29" s="150">
        <f>IF(Tabel2[[#This Row],[LPR 7]]&gt;0,1,0)</f>
        <v>0</v>
      </c>
      <c r="CK29" s="150">
        <f>IF(Tabel2[[#This Row],[LPR 8]]&gt;0,1,0)</f>
        <v>0</v>
      </c>
      <c r="CL29" s="150">
        <f>IF(Tabel2[[#This Row],[LPR 9]]&gt;0,1,0)</f>
        <v>0</v>
      </c>
      <c r="CM29" s="150">
        <f>IF(Tabel2[[#This Row],[LPR 10]]&gt;0,1,0)</f>
        <v>0</v>
      </c>
      <c r="CN29" s="150">
        <f>SUM(Tabel7[[#This Row],[sep]:[jun]])</f>
        <v>0</v>
      </c>
      <c r="CO29" s="22" t="str">
        <f t="shared" si="1"/>
        <v/>
      </c>
      <c r="CP29" s="22" t="str">
        <f t="shared" si="2"/>
        <v/>
      </c>
      <c r="CQ29" s="22" t="str">
        <f t="shared" si="3"/>
        <v/>
      </c>
      <c r="CR29" s="22" t="str">
        <f t="shared" si="4"/>
        <v/>
      </c>
      <c r="CS29" s="22" t="str">
        <f t="shared" si="5"/>
        <v/>
      </c>
    </row>
    <row r="30" spans="1:97" x14ac:dyDescent="0.3">
      <c r="A30" s="22" t="s">
        <v>153</v>
      </c>
      <c r="B30" s="22" t="s">
        <v>778</v>
      </c>
      <c r="D30" s="22" t="s">
        <v>137</v>
      </c>
      <c r="E30" t="s">
        <v>181</v>
      </c>
      <c r="F30" s="22">
        <v>119915</v>
      </c>
      <c r="G30" s="25" t="s">
        <v>182</v>
      </c>
      <c r="H30" s="23">
        <f>Tabel2[[#This Row],[pnt t/m 2021/22]]+Tabel2[[#This Row],[pnt 2022/2023]]</f>
        <v>419.16017316017314</v>
      </c>
      <c r="I30">
        <v>2011</v>
      </c>
      <c r="J30">
        <v>2022</v>
      </c>
      <c r="K30" s="24">
        <f>Tabel2[[#This Row],[ijkdatum]]-Tabel2[[#This Row],[Geboren]]</f>
        <v>11</v>
      </c>
      <c r="L30" s="26">
        <f>Tabel2[[#This Row],[TTL 1]]+Tabel2[[#This Row],[TTL 2]]+Tabel2[[#This Row],[TTL 3]]+Tabel2[[#This Row],[TTL 4]]+Tabel2[[#This Row],[TTL 5]]+Tabel2[[#This Row],[TTL 6]]+Tabel2[[#This Row],[TTL 7]]+Tabel2[[#This Row],[TTL 8]]+Tabel2[[#This Row],[TTL 9]]+Tabel2[[#This Row],[TTL 10]]</f>
        <v>0</v>
      </c>
      <c r="M30" s="153">
        <v>419.16017316017314</v>
      </c>
      <c r="O30">
        <v>1</v>
      </c>
      <c r="S30" s="153">
        <f>SUM(Tabel2[[#This Row],[V 1]]*10+Tabel2[[#This Row],[GT 1]])/Tabel2[[#This Row],[AW 1]]*10+Tabel2[[#This Row],[BONUS 1]]</f>
        <v>0</v>
      </c>
      <c r="U30">
        <v>1</v>
      </c>
      <c r="Y30" s="23">
        <f>SUM(Tabel2[[#This Row],[V 2]]*10+Tabel2[[#This Row],[GT 2]])/Tabel2[[#This Row],[AW 2]]*10+Tabel2[[#This Row],[BONUS 2]]</f>
        <v>0</v>
      </c>
      <c r="AA30">
        <v>1</v>
      </c>
      <c r="AE30" s="23">
        <f>SUM(Tabel2[[#This Row],[V 3]]*10+Tabel2[[#This Row],[GT 3]])/Tabel2[[#This Row],[AW 3]]*10+Tabel2[[#This Row],[BONUS 3]]</f>
        <v>0</v>
      </c>
      <c r="AG30">
        <v>1</v>
      </c>
      <c r="AK30" s="23">
        <f>SUM(Tabel2[[#This Row],[V 4]]*10+Tabel2[[#This Row],[GT 4]])/Tabel2[[#This Row],[AW 4]]*10+Tabel2[[#This Row],[BONUS 4]]</f>
        <v>0</v>
      </c>
      <c r="AM30">
        <v>1</v>
      </c>
      <c r="AQ30" s="23">
        <f>SUM(Tabel2[[#This Row],[V 5]]*10+Tabel2[[#This Row],[GT 5]])/Tabel2[[#This Row],[AW 5]]*10+Tabel2[[#This Row],[BONUS 5]]</f>
        <v>0</v>
      </c>
      <c r="AS30">
        <v>1</v>
      </c>
      <c r="AW30" s="23">
        <f>SUM(Tabel2[[#This Row],[V 6]]*10+Tabel2[[#This Row],[GT 6]])/Tabel2[[#This Row],[AW 6]]*10+Tabel2[[#This Row],[BONUS 6]]</f>
        <v>0</v>
      </c>
      <c r="AY30">
        <v>1</v>
      </c>
      <c r="BC30" s="23">
        <f>SUM(Tabel2[[#This Row],[V 7]]*10+Tabel2[[#This Row],[GT 7]])/Tabel2[[#This Row],[AW 7]]*10+Tabel2[[#This Row],[BONUS 7]]</f>
        <v>0</v>
      </c>
      <c r="BE30">
        <v>1</v>
      </c>
      <c r="BI30" s="23">
        <f>SUM(Tabel2[[#This Row],[V 8]]*10+Tabel2[[#This Row],[GT 8]])/Tabel2[[#This Row],[AW 8]]*10+Tabel2[[#This Row],[BONUS 8]]</f>
        <v>0</v>
      </c>
      <c r="BK30">
        <v>1</v>
      </c>
      <c r="BO30" s="2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0" s="22">
        <v>250</v>
      </c>
      <c r="BX30" s="22">
        <f>Tabel2[[#This Row],[Diploma]]-Tabel2[[#This Row],[Uitgeschreven]]</f>
        <v>0</v>
      </c>
      <c r="BY30" s="155" t="str">
        <f>IF(BX30=0,"geen actie",CONCATENATE("diploma uitschrijven: ",BV30," punten"))</f>
        <v>geen actie</v>
      </c>
      <c r="CA30" s="150">
        <f>Tabel2[[#This Row],[pnt t/m 2021/22]]</f>
        <v>419.16017316017314</v>
      </c>
      <c r="CB30" s="150">
        <f>Tabel2[[#This Row],[pnt 2022/2023]]</f>
        <v>0</v>
      </c>
      <c r="CC30" s="150">
        <f t="shared" si="6"/>
        <v>419.16017316017314</v>
      </c>
      <c r="CD30" s="150">
        <f>IF(Tabel2[[#This Row],[LPR 1]]&gt;0,1,0)</f>
        <v>0</v>
      </c>
      <c r="CE30" s="150">
        <f>IF(Tabel2[[#This Row],[LPR 2]]&gt;0,1,0)</f>
        <v>0</v>
      </c>
      <c r="CF30" s="150">
        <f>IF(Tabel2[[#This Row],[LPR 3]]&gt;0,1,0)</f>
        <v>0</v>
      </c>
      <c r="CG30" s="150">
        <f>IF(Tabel2[[#This Row],[LPR 4]]&gt;0,1,0)</f>
        <v>0</v>
      </c>
      <c r="CH30" s="150">
        <f>IF(Tabel2[[#This Row],[LPR 5]]&gt;0,1,0)</f>
        <v>0</v>
      </c>
      <c r="CI30" s="150">
        <f>IF(Tabel2[[#This Row],[LPR 6]]&gt;0,1,0)</f>
        <v>0</v>
      </c>
      <c r="CJ30" s="150">
        <f>IF(Tabel2[[#This Row],[LPR 7]]&gt;0,1,0)</f>
        <v>0</v>
      </c>
      <c r="CK30" s="150">
        <f>IF(Tabel2[[#This Row],[LPR 8]]&gt;0,1,0)</f>
        <v>0</v>
      </c>
      <c r="CL30" s="150">
        <f>IF(Tabel2[[#This Row],[LPR 9]]&gt;0,1,0)</f>
        <v>0</v>
      </c>
      <c r="CM30" s="150">
        <f>IF(Tabel2[[#This Row],[LPR 10]]&gt;0,1,0)</f>
        <v>0</v>
      </c>
      <c r="CN30" s="150">
        <f>SUM(Tabel7[[#This Row],[sep]:[jun]])</f>
        <v>0</v>
      </c>
      <c r="CO30" s="22" t="str">
        <f t="shared" si="1"/>
        <v/>
      </c>
      <c r="CP30" s="22" t="str">
        <f t="shared" si="2"/>
        <v/>
      </c>
      <c r="CQ30" s="22" t="str">
        <f t="shared" si="3"/>
        <v/>
      </c>
      <c r="CR30" s="22" t="str">
        <f t="shared" si="4"/>
        <v/>
      </c>
      <c r="CS30" s="22" t="str">
        <f t="shared" si="5"/>
        <v/>
      </c>
    </row>
    <row r="31" spans="1:97" x14ac:dyDescent="0.3">
      <c r="A31" s="22" t="s">
        <v>169</v>
      </c>
      <c r="B31" s="22" t="s">
        <v>778</v>
      </c>
      <c r="D31" s="22" t="s">
        <v>137</v>
      </c>
      <c r="E31" t="s">
        <v>183</v>
      </c>
      <c r="F31" s="22">
        <v>120187</v>
      </c>
      <c r="G31" s="25" t="s">
        <v>149</v>
      </c>
      <c r="H31" s="23">
        <f>Tabel2[[#This Row],[pnt t/m 2021/22]]+Tabel2[[#This Row],[pnt 2022/2023]]</f>
        <v>87.5</v>
      </c>
      <c r="I31">
        <v>2014</v>
      </c>
      <c r="J31">
        <v>2022</v>
      </c>
      <c r="K31" s="24">
        <f>Tabel2[[#This Row],[ijkdatum]]-Tabel2[[#This Row],[Geboren]]</f>
        <v>8</v>
      </c>
      <c r="L31" s="26">
        <f>Tabel2[[#This Row],[TTL 1]]+Tabel2[[#This Row],[TTL 2]]+Tabel2[[#This Row],[TTL 3]]+Tabel2[[#This Row],[TTL 4]]+Tabel2[[#This Row],[TTL 5]]+Tabel2[[#This Row],[TTL 6]]+Tabel2[[#This Row],[TTL 7]]+Tabel2[[#This Row],[TTL 8]]+Tabel2[[#This Row],[TTL 9]]+Tabel2[[#This Row],[TTL 10]]</f>
        <v>0</v>
      </c>
      <c r="M31" s="153">
        <v>87.5</v>
      </c>
      <c r="O31">
        <v>1</v>
      </c>
      <c r="S31" s="153">
        <f>SUM(Tabel2[[#This Row],[V 1]]*10+Tabel2[[#This Row],[GT 1]])/Tabel2[[#This Row],[AW 1]]*10+Tabel2[[#This Row],[BONUS 1]]</f>
        <v>0</v>
      </c>
      <c r="U31">
        <v>1</v>
      </c>
      <c r="Y31" s="23">
        <f>SUM(Tabel2[[#This Row],[V 2]]*10+Tabel2[[#This Row],[GT 2]])/Tabel2[[#This Row],[AW 2]]*10+Tabel2[[#This Row],[BONUS 2]]</f>
        <v>0</v>
      </c>
      <c r="AA31">
        <v>1</v>
      </c>
      <c r="AE31" s="23">
        <f>SUM(Tabel2[[#This Row],[V 3]]*10+Tabel2[[#This Row],[GT 3]])/Tabel2[[#This Row],[AW 3]]*10+Tabel2[[#This Row],[BONUS 3]]</f>
        <v>0</v>
      </c>
      <c r="AG31">
        <v>1</v>
      </c>
      <c r="AK31" s="23">
        <f>SUM(Tabel2[[#This Row],[V 4]]*10+Tabel2[[#This Row],[GT 4]])/Tabel2[[#This Row],[AW 4]]*10+Tabel2[[#This Row],[BONUS 4]]</f>
        <v>0</v>
      </c>
      <c r="AM31">
        <v>1</v>
      </c>
      <c r="AQ31" s="23">
        <f>SUM(Tabel2[[#This Row],[V 5]]*10+Tabel2[[#This Row],[GT 5]])/Tabel2[[#This Row],[AW 5]]*10+Tabel2[[#This Row],[BONUS 5]]</f>
        <v>0</v>
      </c>
      <c r="AS31">
        <v>1</v>
      </c>
      <c r="AW31" s="23">
        <f>SUM(Tabel2[[#This Row],[V 6]]*10+Tabel2[[#This Row],[GT 6]])/Tabel2[[#This Row],[AW 6]]*10+Tabel2[[#This Row],[BONUS 6]]</f>
        <v>0</v>
      </c>
      <c r="AY31">
        <v>1</v>
      </c>
      <c r="BC31" s="23">
        <f>SUM(Tabel2[[#This Row],[V 7]]*10+Tabel2[[#This Row],[GT 7]])/Tabel2[[#This Row],[AW 7]]*10+Tabel2[[#This Row],[BONUS 7]]</f>
        <v>0</v>
      </c>
      <c r="BE31">
        <v>1</v>
      </c>
      <c r="BI31" s="23">
        <f>SUM(Tabel2[[#This Row],[V 8]]*10+Tabel2[[#This Row],[GT 8]])/Tabel2[[#This Row],[AW 8]]*10+Tabel2[[#This Row],[BONUS 8]]</f>
        <v>0</v>
      </c>
      <c r="BK31">
        <v>1</v>
      </c>
      <c r="BO31" s="23">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1" s="22">
        <v>0</v>
      </c>
      <c r="BX31" s="22">
        <f>Tabel2[[#This Row],[Diploma]]-Tabel2[[#This Row],[Uitgeschreven]]</f>
        <v>0</v>
      </c>
      <c r="BY31" s="155" t="str">
        <f>IF(BX31=0,"geen actie",CONCATENATE("diploma uitschrijven: ",BV31," punten"))</f>
        <v>geen actie</v>
      </c>
      <c r="CA31" s="150">
        <f>Tabel2[[#This Row],[pnt t/m 2021/22]]</f>
        <v>87.5</v>
      </c>
      <c r="CB31" s="150">
        <f>Tabel2[[#This Row],[pnt 2022/2023]]</f>
        <v>0</v>
      </c>
      <c r="CC31" s="150">
        <f t="shared" si="6"/>
        <v>87.5</v>
      </c>
      <c r="CD31" s="150">
        <f>IF(Tabel2[[#This Row],[LPR 1]]&gt;0,1,0)</f>
        <v>0</v>
      </c>
      <c r="CE31" s="150">
        <f>IF(Tabel2[[#This Row],[LPR 2]]&gt;0,1,0)</f>
        <v>0</v>
      </c>
      <c r="CF31" s="150">
        <f>IF(Tabel2[[#This Row],[LPR 3]]&gt;0,1,0)</f>
        <v>0</v>
      </c>
      <c r="CG31" s="150">
        <f>IF(Tabel2[[#This Row],[LPR 4]]&gt;0,1,0)</f>
        <v>0</v>
      </c>
      <c r="CH31" s="150">
        <f>IF(Tabel2[[#This Row],[LPR 5]]&gt;0,1,0)</f>
        <v>0</v>
      </c>
      <c r="CI31" s="150">
        <f>IF(Tabel2[[#This Row],[LPR 6]]&gt;0,1,0)</f>
        <v>0</v>
      </c>
      <c r="CJ31" s="150">
        <f>IF(Tabel2[[#This Row],[LPR 7]]&gt;0,1,0)</f>
        <v>0</v>
      </c>
      <c r="CK31" s="150">
        <f>IF(Tabel2[[#This Row],[LPR 8]]&gt;0,1,0)</f>
        <v>0</v>
      </c>
      <c r="CL31" s="150">
        <f>IF(Tabel2[[#This Row],[LPR 9]]&gt;0,1,0)</f>
        <v>0</v>
      </c>
      <c r="CM31" s="150">
        <f>IF(Tabel2[[#This Row],[LPR 10]]&gt;0,1,0)</f>
        <v>0</v>
      </c>
      <c r="CN31" s="150">
        <f>SUM(Tabel7[[#This Row],[sep]:[jun]])</f>
        <v>0</v>
      </c>
      <c r="CO31" s="22" t="str">
        <f t="shared" si="1"/>
        <v/>
      </c>
      <c r="CP31" s="22" t="str">
        <f t="shared" si="2"/>
        <v/>
      </c>
      <c r="CQ31" s="22" t="str">
        <f t="shared" si="3"/>
        <v/>
      </c>
      <c r="CR31" s="22" t="str">
        <f t="shared" si="4"/>
        <v/>
      </c>
      <c r="CS31" s="22" t="str">
        <f t="shared" si="5"/>
        <v/>
      </c>
    </row>
    <row r="32" spans="1:97" x14ac:dyDescent="0.3">
      <c r="A32" s="22" t="s">
        <v>145</v>
      </c>
      <c r="B32" s="22" t="s">
        <v>778</v>
      </c>
      <c r="D32" s="22" t="s">
        <v>137</v>
      </c>
      <c r="E32" t="s">
        <v>184</v>
      </c>
      <c r="F32" s="22">
        <v>119326</v>
      </c>
      <c r="G32" s="25" t="s">
        <v>185</v>
      </c>
      <c r="H32" s="142">
        <f>Tabel2[[#This Row],[pnt t/m 2021/22]]+Tabel2[[#This Row],[pnt 2022/2023]]</f>
        <v>484.8989898989899</v>
      </c>
      <c r="I32">
        <v>2010</v>
      </c>
      <c r="J32">
        <v>2022</v>
      </c>
      <c r="K32" s="24">
        <f>Tabel2[[#This Row],[ijkdatum]]-Tabel2[[#This Row],[Geboren]]</f>
        <v>12</v>
      </c>
      <c r="L32" s="26">
        <f>Tabel2[[#This Row],[TTL 1]]+Tabel2[[#This Row],[TTL 2]]+Tabel2[[#This Row],[TTL 3]]+Tabel2[[#This Row],[TTL 4]]+Tabel2[[#This Row],[TTL 5]]+Tabel2[[#This Row],[TTL 6]]+Tabel2[[#This Row],[TTL 7]]+Tabel2[[#This Row],[TTL 8]]+Tabel2[[#This Row],[TTL 9]]+Tabel2[[#This Row],[TTL 10]]</f>
        <v>0</v>
      </c>
      <c r="M32" s="141">
        <v>484.8989898989899</v>
      </c>
      <c r="O32">
        <v>1</v>
      </c>
      <c r="S32" s="2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M32">
        <v>1</v>
      </c>
      <c r="AQ32" s="23">
        <f>SUM(Tabel2[[#This Row],[V 5]]*10+Tabel2[[#This Row],[GT 5]])/Tabel2[[#This Row],[AW 5]]*10+Tabel2[[#This Row],[BONUS 5]]</f>
        <v>0</v>
      </c>
      <c r="AS32">
        <v>1</v>
      </c>
      <c r="AW32" s="23">
        <f>SUM(Tabel2[[#This Row],[V 6]]*10+Tabel2[[#This Row],[GT 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2" s="22">
        <v>250</v>
      </c>
      <c r="BX32" s="30">
        <f>Tabel2[[#This Row],[Diploma]]-Tabel2[[#This Row],[Uitgeschreven]]</f>
        <v>0</v>
      </c>
      <c r="BY32" s="2" t="str">
        <f>IF(BX32=0,"geen actie",CONCATENATE("diploma uitschrijven: ",BV32," punten"))</f>
        <v>geen actie</v>
      </c>
      <c r="CA32" s="150">
        <f>Tabel2[[#This Row],[pnt t/m 2021/22]]</f>
        <v>484.8989898989899</v>
      </c>
      <c r="CB32" s="150">
        <f>Tabel2[[#This Row],[pnt 2022/2023]]</f>
        <v>0</v>
      </c>
      <c r="CC32" s="150">
        <f t="shared" si="6"/>
        <v>484.8989898989899</v>
      </c>
      <c r="CD32" s="150">
        <f>IF(Tabel2[[#This Row],[LPR 1]]&gt;0,1,0)</f>
        <v>0</v>
      </c>
      <c r="CE32" s="150">
        <f>IF(Tabel2[[#This Row],[LPR 2]]&gt;0,1,0)</f>
        <v>0</v>
      </c>
      <c r="CF32" s="150">
        <f>IF(Tabel2[[#This Row],[LPR 3]]&gt;0,1,0)</f>
        <v>0</v>
      </c>
      <c r="CG32" s="150">
        <f>IF(Tabel2[[#This Row],[LPR 4]]&gt;0,1,0)</f>
        <v>0</v>
      </c>
      <c r="CH32" s="150">
        <f>IF(Tabel2[[#This Row],[LPR 5]]&gt;0,1,0)</f>
        <v>0</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0</v>
      </c>
      <c r="CO32" s="22" t="str">
        <f t="shared" si="1"/>
        <v/>
      </c>
      <c r="CP32" s="22" t="str">
        <f t="shared" si="2"/>
        <v/>
      </c>
      <c r="CQ32" s="22" t="str">
        <f t="shared" si="3"/>
        <v/>
      </c>
      <c r="CR32" s="22" t="str">
        <f t="shared" si="4"/>
        <v/>
      </c>
      <c r="CS32" s="22" t="str">
        <f t="shared" si="5"/>
        <v/>
      </c>
    </row>
    <row r="33" spans="1:97" x14ac:dyDescent="0.3">
      <c r="A33" s="22" t="s">
        <v>143</v>
      </c>
      <c r="B33" s="22" t="s">
        <v>779</v>
      </c>
      <c r="D33" s="22" t="s">
        <v>137</v>
      </c>
      <c r="E33" t="s">
        <v>327</v>
      </c>
      <c r="F33" s="22">
        <v>117628</v>
      </c>
      <c r="G33" s="25" t="s">
        <v>147</v>
      </c>
      <c r="H33" s="142">
        <f>Tabel2[[#This Row],[pnt t/m 2021/22]]+Tabel2[[#This Row],[pnt 2022/2023]]</f>
        <v>1453.5468975468975</v>
      </c>
      <c r="I33">
        <v>2010</v>
      </c>
      <c r="J33">
        <v>2023</v>
      </c>
      <c r="K33" s="24">
        <f>Tabel2[[#This Row],[ijkdatum]]-Tabel2[[#This Row],[Geboren]]</f>
        <v>13</v>
      </c>
      <c r="L33" s="26">
        <f>Tabel2[[#This Row],[TTL 1]]+Tabel2[[#This Row],[TTL 2]]+Tabel2[[#This Row],[TTL 3]]+Tabel2[[#This Row],[TTL 4]]+Tabel2[[#This Row],[TTL 5]]+Tabel2[[#This Row],[TTL 6]]+Tabel2[[#This Row],[TTL 7]]+Tabel2[[#This Row],[TTL 8]]+Tabel2[[#This Row],[TTL 9]]+Tabel2[[#This Row],[TTL 10]]</f>
        <v>48.181818181818187</v>
      </c>
      <c r="M33" s="153">
        <v>1405.3650793650793</v>
      </c>
      <c r="O33">
        <v>1</v>
      </c>
      <c r="S33" s="23">
        <f>SUM(Tabel2[[#This Row],[V 1]]*10+Tabel2[[#This Row],[GT 1]])/Tabel2[[#This Row],[AW 1]]*10+Tabel2[[#This Row],[BONUS 1]]</f>
        <v>0</v>
      </c>
      <c r="T33">
        <v>5</v>
      </c>
      <c r="U33">
        <v>11</v>
      </c>
      <c r="V33">
        <v>2</v>
      </c>
      <c r="W33">
        <v>33</v>
      </c>
      <c r="Y33" s="23">
        <f>SUM(Tabel2[[#This Row],[V 2]]*10+Tabel2[[#This Row],[GT 2]])/Tabel2[[#This Row],[AW 2]]*10+Tabel2[[#This Row],[BONUS 2]]</f>
        <v>48.181818181818187</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 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33" s="22">
        <v>1000</v>
      </c>
      <c r="BX33" s="30">
        <f>Tabel2[[#This Row],[Diploma]]-Tabel2[[#This Row],[Uitgeschreven]]</f>
        <v>0</v>
      </c>
      <c r="BY33" s="2" t="str">
        <f>IF(BX33=0,"geen actie",CONCATENATE("diploma uitschrijven: ",BV33," punten"))</f>
        <v>geen actie</v>
      </c>
      <c r="CA33" s="150">
        <f>Tabel2[[#This Row],[pnt t/m 2021/22]]</f>
        <v>1405.3650793650793</v>
      </c>
      <c r="CB33" s="150">
        <f>Tabel2[[#This Row],[pnt 2022/2023]]</f>
        <v>48.181818181818187</v>
      </c>
      <c r="CC33" s="150">
        <f t="shared" si="6"/>
        <v>1453.5468975468975</v>
      </c>
      <c r="CD33" s="150">
        <f>IF(Tabel2[[#This Row],[LPR 1]]&gt;0,1,0)</f>
        <v>0</v>
      </c>
      <c r="CE33" s="150">
        <f>IF(Tabel2[[#This Row],[LPR 2]]&gt;0,1,0)</f>
        <v>1</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1</v>
      </c>
      <c r="CO33" s="22" t="str">
        <f t="shared" si="1"/>
        <v/>
      </c>
      <c r="CP33" s="22" t="str">
        <f t="shared" si="2"/>
        <v/>
      </c>
      <c r="CQ33" s="22" t="str">
        <f t="shared" si="3"/>
        <v/>
      </c>
      <c r="CR33" s="22" t="str">
        <f t="shared" si="4"/>
        <v/>
      </c>
      <c r="CS33" s="22" t="str">
        <f t="shared" si="5"/>
        <v/>
      </c>
    </row>
    <row r="34" spans="1:97" x14ac:dyDescent="0.3">
      <c r="A34" s="22" t="s">
        <v>169</v>
      </c>
      <c r="B34" s="22" t="s">
        <v>778</v>
      </c>
      <c r="D34" s="22" t="s">
        <v>137</v>
      </c>
      <c r="E34" t="s">
        <v>187</v>
      </c>
      <c r="F34" s="22">
        <v>119942</v>
      </c>
      <c r="G34" s="25" t="s">
        <v>171</v>
      </c>
      <c r="H34" s="23">
        <f>Tabel2[[#This Row],[pnt t/m 2021/22]]+Tabel2[[#This Row],[pnt 2022/2023]]</f>
        <v>133.75</v>
      </c>
      <c r="I34">
        <v>2012</v>
      </c>
      <c r="J34">
        <v>2022</v>
      </c>
      <c r="K34" s="24">
        <f>Tabel2[[#This Row],[ijkdatum]]-Tabel2[[#This Row],[Geboren]]</f>
        <v>10</v>
      </c>
      <c r="L34" s="26">
        <f>Tabel2[[#This Row],[TTL 1]]+Tabel2[[#This Row],[TTL 2]]+Tabel2[[#This Row],[TTL 3]]+Tabel2[[#This Row],[TTL 4]]+Tabel2[[#This Row],[TTL 5]]+Tabel2[[#This Row],[TTL 6]]+Tabel2[[#This Row],[TTL 7]]+Tabel2[[#This Row],[TTL 8]]+Tabel2[[#This Row],[TTL 9]]+Tabel2[[#This Row],[TTL 10]]</f>
        <v>0</v>
      </c>
      <c r="M34" s="153">
        <v>133.75</v>
      </c>
      <c r="O34">
        <v>1</v>
      </c>
      <c r="S34" s="153">
        <f>SUM(Tabel2[[#This Row],[V 1]]*10+Tabel2[[#This Row],[GT 1]])/Tabel2[[#This Row],[AW 1]]*10+Tabel2[[#This Row],[BONUS 1]]</f>
        <v>0</v>
      </c>
      <c r="U34">
        <v>1</v>
      </c>
      <c r="Y34" s="153">
        <f>SUM(Tabel2[[#This Row],[V 2]]*10+Tabel2[[#This Row],[GT 2]])/Tabel2[[#This Row],[AW 2]]*10+Tabel2[[#This Row],[BONUS 2]]</f>
        <v>0</v>
      </c>
      <c r="AA34">
        <v>1</v>
      </c>
      <c r="AE34" s="153">
        <f>SUM(Tabel2[[#This Row],[V 3]]*10+Tabel2[[#This Row],[GT 3]])/Tabel2[[#This Row],[AW 3]]*10+Tabel2[[#This Row],[BONUS 3]]</f>
        <v>0</v>
      </c>
      <c r="AG34">
        <v>1</v>
      </c>
      <c r="AK34" s="153">
        <f>SUM(Tabel2[[#This Row],[V 4]]*10+Tabel2[[#This Row],[GT 4]])/Tabel2[[#This Row],[AW 4]]*10+Tabel2[[#This Row],[BONUS 4]]</f>
        <v>0</v>
      </c>
      <c r="AM34">
        <v>1</v>
      </c>
      <c r="AQ34" s="153">
        <f>SUM(Tabel2[[#This Row],[V 5]]*10+Tabel2[[#This Row],[GT 5]])/Tabel2[[#This Row],[AW 5]]*10+Tabel2[[#This Row],[BONUS 5]]</f>
        <v>0</v>
      </c>
      <c r="AS34">
        <v>1</v>
      </c>
      <c r="AW34" s="153">
        <f>SUM(Tabel2[[#This Row],[V 6]]*10+Tabel2[[#This Row],[GT 6]])/Tabel2[[#This Row],[AW 6]]*10+Tabel2[[#This Row],[BONUS 6]]</f>
        <v>0</v>
      </c>
      <c r="AY34">
        <v>1</v>
      </c>
      <c r="BC34" s="153">
        <f>SUM(Tabel2[[#This Row],[V 7]]*10+Tabel2[[#This Row],[GT 7]])/Tabel2[[#This Row],[AW 7]]*10+Tabel2[[#This Row],[BONUS 7]]</f>
        <v>0</v>
      </c>
      <c r="BE34">
        <v>1</v>
      </c>
      <c r="BI34" s="153">
        <f>SUM(Tabel2[[#This Row],[V 8]]*10+Tabel2[[#This Row],[GT 8]])/Tabel2[[#This Row],[AW 8]]*10+Tabel2[[#This Row],[BONUS 8]]</f>
        <v>0</v>
      </c>
      <c r="BK34">
        <v>1</v>
      </c>
      <c r="BO34" s="153">
        <f>SUM(Tabel2[[#This Row],[V 9]]*10+Tabel2[[#This Row],[GT 9]])/Tabel2[[#This Row],[AW 9]]*10+Tabel2[[#This Row],[BONUS 9]]</f>
        <v>0</v>
      </c>
      <c r="BQ34">
        <v>1</v>
      </c>
      <c r="BU34" s="23">
        <f>SUM(Tabel2[[#This Row],[V 10]]*10+Tabel2[[#This Row],[GT 10]])/Tabel2[[#This Row],[AW 10]]*10+Tabel2[[#This Row],[BONUS 10]]</f>
        <v>0</v>
      </c>
      <c r="BV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4" s="22">
        <v>0</v>
      </c>
      <c r="BX34" s="22">
        <f>Tabel2[[#This Row],[Diploma]]-Tabel2[[#This Row],[Uitgeschreven]]</f>
        <v>0</v>
      </c>
      <c r="BY34" s="155" t="str">
        <f>IF(BX34=0,"geen actie",CONCATENATE("diploma uitschrijven: ",BV34," punten"))</f>
        <v>geen actie</v>
      </c>
      <c r="CA34" s="150">
        <f>Tabel2[[#This Row],[pnt t/m 2021/22]]</f>
        <v>133.75</v>
      </c>
      <c r="CB34" s="150">
        <f>Tabel2[[#This Row],[pnt 2022/2023]]</f>
        <v>0</v>
      </c>
      <c r="CC34" s="150">
        <f t="shared" si="6"/>
        <v>133.75</v>
      </c>
      <c r="CD34" s="150">
        <f>IF(Tabel2[[#This Row],[LPR 1]]&gt;0,1,0)</f>
        <v>0</v>
      </c>
      <c r="CE34" s="150">
        <f>IF(Tabel2[[#This Row],[LPR 2]]&gt;0,1,0)</f>
        <v>0</v>
      </c>
      <c r="CF34" s="150">
        <f>IF(Tabel2[[#This Row],[LPR 3]]&gt;0,1,0)</f>
        <v>0</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0</v>
      </c>
      <c r="CO34" s="22" t="str">
        <f t="shared" si="1"/>
        <v/>
      </c>
      <c r="CP34" s="22" t="str">
        <f t="shared" si="2"/>
        <v/>
      </c>
      <c r="CQ34" s="22" t="str">
        <f t="shared" si="3"/>
        <v/>
      </c>
      <c r="CR34" s="22" t="str">
        <f t="shared" si="4"/>
        <v/>
      </c>
      <c r="CS34" s="22" t="str">
        <f t="shared" si="5"/>
        <v/>
      </c>
    </row>
    <row r="35" spans="1:97" x14ac:dyDescent="0.3">
      <c r="A35" s="22" t="s">
        <v>169</v>
      </c>
      <c r="B35" s="22" t="s">
        <v>778</v>
      </c>
      <c r="D35" s="22" t="s">
        <v>137</v>
      </c>
      <c r="E35" t="s">
        <v>188</v>
      </c>
      <c r="F35" s="22">
        <v>120465</v>
      </c>
      <c r="G35" s="25" t="s">
        <v>149</v>
      </c>
      <c r="H35" s="23">
        <f>Tabel2[[#This Row],[pnt t/m 2021/22]]+Tabel2[[#This Row],[pnt 2022/2023]]</f>
        <v>67.083333333333329</v>
      </c>
      <c r="I35">
        <v>2014</v>
      </c>
      <c r="J35">
        <v>2022</v>
      </c>
      <c r="K35" s="24">
        <f>Tabel2[[#This Row],[ijkdatum]]-Tabel2[[#This Row],[Geboren]]</f>
        <v>8</v>
      </c>
      <c r="L35" s="26">
        <f>Tabel2[[#This Row],[TTL 1]]+Tabel2[[#This Row],[TTL 2]]+Tabel2[[#This Row],[TTL 3]]+Tabel2[[#This Row],[TTL 4]]+Tabel2[[#This Row],[TTL 5]]+Tabel2[[#This Row],[TTL 6]]+Tabel2[[#This Row],[TTL 7]]+Tabel2[[#This Row],[TTL 8]]+Tabel2[[#This Row],[TTL 9]]+Tabel2[[#This Row],[TTL 10]]</f>
        <v>0</v>
      </c>
      <c r="M35" s="157">
        <v>67.083333333333329</v>
      </c>
      <c r="O35">
        <v>1</v>
      </c>
      <c r="S35" s="153">
        <f>SUM(Tabel2[[#This Row],[V 1]]*10+Tabel2[[#This Row],[GT 1]])/Tabel2[[#This Row],[AW 1]]*10+Tabel2[[#This Row],[BONUS 1]]</f>
        <v>0</v>
      </c>
      <c r="U35">
        <v>1</v>
      </c>
      <c r="Y35" s="23">
        <f>SUM(Tabel2[[#This Row],[V 2]]*10+Tabel2[[#This Row],[GT 2]])/Tabel2[[#This Row],[AW 2]]*10+Tabel2[[#This Row],[BONUS 2]]</f>
        <v>0</v>
      </c>
      <c r="AA35">
        <v>1</v>
      </c>
      <c r="AE35" s="23">
        <f>SUM(Tabel2[[#This Row],[V 3]]*10+Tabel2[[#This Row],[GT 3]])/Tabel2[[#This Row],[AW 3]]*10+Tabel2[[#This Row],[BONUS 3]]</f>
        <v>0</v>
      </c>
      <c r="AG35">
        <v>1</v>
      </c>
      <c r="AK35" s="23">
        <f>SUM(Tabel2[[#This Row],[V 4]]*10+Tabel2[[#This Row],[GT 4]])/Tabel2[[#This Row],[AW 4]]*10+Tabel2[[#This Row],[BONUS 4]]</f>
        <v>0</v>
      </c>
      <c r="AM35">
        <v>1</v>
      </c>
      <c r="AQ35" s="23">
        <f>SUM(Tabel2[[#This Row],[V 5]]*10+Tabel2[[#This Row],[GT 5]])/Tabel2[[#This Row],[AW 5]]*10+Tabel2[[#This Row],[BONUS 5]]</f>
        <v>0</v>
      </c>
      <c r="AS35">
        <v>1</v>
      </c>
      <c r="AW35" s="23">
        <f>SUM(Tabel2[[#This Row],[V 6]]*10+Tabel2[[#This Row],[GT 6]])/Tabel2[[#This Row],[AW 6]]*10+Tabel2[[#This Row],[BONUS 6]]</f>
        <v>0</v>
      </c>
      <c r="AY35">
        <v>1</v>
      </c>
      <c r="BC35" s="23">
        <f>SUM(Tabel2[[#This Row],[V 7]]*10+Tabel2[[#This Row],[GT 7]])/Tabel2[[#This Row],[AW 7]]*10+Tabel2[[#This Row],[BONUS 7]]</f>
        <v>0</v>
      </c>
      <c r="BE35">
        <v>1</v>
      </c>
      <c r="BI35" s="23">
        <f>SUM(Tabel2[[#This Row],[V 8]]*10+Tabel2[[#This Row],[GT 8]])/Tabel2[[#This Row],[AW 8]]*10+Tabel2[[#This Row],[BONUS 8]]</f>
        <v>0</v>
      </c>
      <c r="BK35">
        <v>1</v>
      </c>
      <c r="BO35" s="2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5" s="22">
        <v>0</v>
      </c>
      <c r="BX35" s="22">
        <f>Tabel2[[#This Row],[Diploma]]-Tabel2[[#This Row],[Uitgeschreven]]</f>
        <v>0</v>
      </c>
      <c r="BY35" s="155" t="str">
        <f>IF(BX35=0,"geen actie",CONCATENATE("diploma uitschrijven: ",BV35," punten"))</f>
        <v>geen actie</v>
      </c>
      <c r="CA35" s="150">
        <f>Tabel2[[#This Row],[pnt t/m 2021/22]]</f>
        <v>67.083333333333329</v>
      </c>
      <c r="CB35" s="150">
        <f>Tabel2[[#This Row],[pnt 2022/2023]]</f>
        <v>0</v>
      </c>
      <c r="CC35" s="150">
        <f t="shared" si="6"/>
        <v>67.083333333333329</v>
      </c>
      <c r="CD35" s="150">
        <f>IF(Tabel2[[#This Row],[LPR 1]]&gt;0,1,0)</f>
        <v>0</v>
      </c>
      <c r="CE35" s="150">
        <f>IF(Tabel2[[#This Row],[LPR 2]]&gt;0,1,0)</f>
        <v>0</v>
      </c>
      <c r="CF35" s="150">
        <f>IF(Tabel2[[#This Row],[LPR 3]]&gt;0,1,0)</f>
        <v>0</v>
      </c>
      <c r="CG35" s="150">
        <f>IF(Tabel2[[#This Row],[LPR 4]]&gt;0,1,0)</f>
        <v>0</v>
      </c>
      <c r="CH35" s="150">
        <f>IF(Tabel2[[#This Row],[LPR 5]]&gt;0,1,0)</f>
        <v>0</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0</v>
      </c>
      <c r="CO35" s="22" t="str">
        <f t="shared" si="1"/>
        <v/>
      </c>
      <c r="CP35" s="22" t="str">
        <f t="shared" si="2"/>
        <v/>
      </c>
      <c r="CQ35" s="22" t="str">
        <f t="shared" si="3"/>
        <v/>
      </c>
      <c r="CR35" s="22" t="str">
        <f t="shared" si="4"/>
        <v/>
      </c>
      <c r="CS35" s="22" t="str">
        <f t="shared" si="5"/>
        <v/>
      </c>
    </row>
    <row r="36" spans="1:97" x14ac:dyDescent="0.3">
      <c r="A36" s="22" t="s">
        <v>140</v>
      </c>
      <c r="B36" s="22" t="s">
        <v>779</v>
      </c>
      <c r="D36" s="22" t="s">
        <v>137</v>
      </c>
      <c r="E36" t="s">
        <v>189</v>
      </c>
      <c r="F36" s="22">
        <v>119381</v>
      </c>
      <c r="G36" s="25" t="s">
        <v>190</v>
      </c>
      <c r="H36" s="23">
        <f>Tabel2[[#This Row],[pnt t/m 2021/22]]+Tabel2[[#This Row],[pnt 2022/2023]]</f>
        <v>120</v>
      </c>
      <c r="I36">
        <v>2012</v>
      </c>
      <c r="J36">
        <v>2022</v>
      </c>
      <c r="K36" s="24">
        <f>Tabel2[[#This Row],[ijkdatum]]-Tabel2[[#This Row],[Geboren]]</f>
        <v>10</v>
      </c>
      <c r="L36" s="26">
        <f>Tabel2[[#This Row],[TTL 1]]+Tabel2[[#This Row],[TTL 2]]+Tabel2[[#This Row],[TTL 3]]+Tabel2[[#This Row],[TTL 4]]+Tabel2[[#This Row],[TTL 5]]+Tabel2[[#This Row],[TTL 6]]+Tabel2[[#This Row],[TTL 7]]+Tabel2[[#This Row],[TTL 8]]+Tabel2[[#This Row],[TTL 9]]+Tabel2[[#This Row],[TTL 10]]</f>
        <v>0</v>
      </c>
      <c r="M36" s="153">
        <v>120</v>
      </c>
      <c r="O36">
        <v>1</v>
      </c>
      <c r="S36" s="153">
        <f>SUM(Tabel2[[#This Row],[V 1]]*10+Tabel2[[#This Row],[GT 1]])/Tabel2[[#This Row],[AW 1]]*10+Tabel2[[#This Row],[BONUS 1]]</f>
        <v>0</v>
      </c>
      <c r="U36">
        <v>1</v>
      </c>
      <c r="Y36" s="153">
        <f>SUM(Tabel2[[#This Row],[V 2]]*10+Tabel2[[#This Row],[GT 2]])/Tabel2[[#This Row],[AW 2]]*10+Tabel2[[#This Row],[BONUS 2]]</f>
        <v>0</v>
      </c>
      <c r="AA36">
        <v>1</v>
      </c>
      <c r="AE36" s="153">
        <f>SUM(Tabel2[[#This Row],[V 3]]*10+Tabel2[[#This Row],[GT 3]])/Tabel2[[#This Row],[AW 3]]*10+Tabel2[[#This Row],[BONUS 3]]</f>
        <v>0</v>
      </c>
      <c r="AG36">
        <v>1</v>
      </c>
      <c r="AK36" s="153">
        <f>SUM(Tabel2[[#This Row],[V 4]]*10+Tabel2[[#This Row],[GT 4]])/Tabel2[[#This Row],[AW 4]]*10+Tabel2[[#This Row],[BONUS 4]]</f>
        <v>0</v>
      </c>
      <c r="AM36">
        <v>1</v>
      </c>
      <c r="AQ36" s="153">
        <f>SUM(Tabel2[[#This Row],[V 5]]*10+Tabel2[[#This Row],[GT 5]])/Tabel2[[#This Row],[AW 5]]*10+Tabel2[[#This Row],[BONUS 5]]</f>
        <v>0</v>
      </c>
      <c r="AS36">
        <v>1</v>
      </c>
      <c r="AW36" s="153">
        <f>SUM(Tabel2[[#This Row],[V 6]]*10+Tabel2[[#This Row],[GT 6]])/Tabel2[[#This Row],[AW 6]]*10+Tabel2[[#This Row],[BONUS 6]]</f>
        <v>0</v>
      </c>
      <c r="AY36">
        <v>1</v>
      </c>
      <c r="BC36" s="23">
        <f>SUM(Tabel2[[#This Row],[V 7]]*10+Tabel2[[#This Row],[GT 7]])/Tabel2[[#This Row],[AW 7]]*10+Tabel2[[#This Row],[BONUS 7]]</f>
        <v>0</v>
      </c>
      <c r="BE36">
        <v>1</v>
      </c>
      <c r="BI36" s="153">
        <f>SUM(Tabel2[[#This Row],[V 8]]*10+Tabel2[[#This Row],[GT 8]])/Tabel2[[#This Row],[AW 8]]*10+Tabel2[[#This Row],[BONUS 8]]</f>
        <v>0</v>
      </c>
      <c r="BK36">
        <v>1</v>
      </c>
      <c r="BO36" s="15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6" s="22">
        <v>0</v>
      </c>
      <c r="BX36" s="22">
        <f>Tabel2[[#This Row],[Diploma]]-Tabel2[[#This Row],[Uitgeschreven]]</f>
        <v>0</v>
      </c>
      <c r="BY36" s="155" t="str">
        <f>IF(BX36=0,"geen actie",CONCATENATE("diploma uitschrijven: ",BV36," punten"))</f>
        <v>geen actie</v>
      </c>
      <c r="CA36" s="150">
        <f>Tabel2[[#This Row],[pnt t/m 2021/22]]</f>
        <v>120</v>
      </c>
      <c r="CB36" s="150">
        <f>Tabel2[[#This Row],[pnt 2022/2023]]</f>
        <v>0</v>
      </c>
      <c r="CC36" s="150">
        <f t="shared" si="6"/>
        <v>120</v>
      </c>
      <c r="CD36" s="150">
        <f>IF(Tabel2[[#This Row],[LPR 1]]&gt;0,1,0)</f>
        <v>0</v>
      </c>
      <c r="CE36" s="150">
        <f>IF(Tabel2[[#This Row],[LPR 2]]&gt;0,1,0)</f>
        <v>0</v>
      </c>
      <c r="CF36" s="150">
        <f>IF(Tabel2[[#This Row],[LPR 3]]&gt;0,1,0)</f>
        <v>0</v>
      </c>
      <c r="CG36" s="150">
        <f>IF(Tabel2[[#This Row],[LPR 4]]&gt;0,1,0)</f>
        <v>0</v>
      </c>
      <c r="CH36" s="150">
        <f>IF(Tabel2[[#This Row],[LPR 5]]&gt;0,1,0)</f>
        <v>0</v>
      </c>
      <c r="CI36" s="150">
        <f>IF(Tabel2[[#This Row],[LPR 6]]&gt;0,1,0)</f>
        <v>0</v>
      </c>
      <c r="CJ36" s="150">
        <f>IF(Tabel2[[#This Row],[LPR 7]]&gt;0,1,0)</f>
        <v>0</v>
      </c>
      <c r="CK36" s="150">
        <f>IF(Tabel2[[#This Row],[LPR 8]]&gt;0,1,0)</f>
        <v>0</v>
      </c>
      <c r="CL36" s="150">
        <f>IF(Tabel2[[#This Row],[LPR 9]]&gt;0,1,0)</f>
        <v>0</v>
      </c>
      <c r="CM36" s="150">
        <f>IF(Tabel2[[#This Row],[LPR 10]]&gt;0,1,0)</f>
        <v>0</v>
      </c>
      <c r="CN36" s="150">
        <f>SUM(Tabel7[[#This Row],[sep]:[jun]])</f>
        <v>0</v>
      </c>
      <c r="CO36" s="22" t="str">
        <f t="shared" si="1"/>
        <v/>
      </c>
      <c r="CP36" s="22" t="str">
        <f t="shared" si="2"/>
        <v/>
      </c>
      <c r="CQ36" s="22" t="str">
        <f t="shared" si="3"/>
        <v/>
      </c>
      <c r="CR36" s="22" t="str">
        <f t="shared" si="4"/>
        <v/>
      </c>
      <c r="CS36" s="22" t="str">
        <f t="shared" si="5"/>
        <v/>
      </c>
    </row>
    <row r="37" spans="1:97" x14ac:dyDescent="0.3">
      <c r="A37" s="22" t="s">
        <v>135</v>
      </c>
      <c r="B37" s="22" t="s">
        <v>778</v>
      </c>
      <c r="D37" s="22" t="s">
        <v>784</v>
      </c>
      <c r="E37" t="s">
        <v>191</v>
      </c>
      <c r="F37" s="22">
        <v>120082</v>
      </c>
      <c r="G37" s="25" t="s">
        <v>192</v>
      </c>
      <c r="H37" s="23">
        <f>Tabel2[[#This Row],[pnt t/m 2021/22]]+Tabel2[[#This Row],[pnt 2022/2023]]</f>
        <v>375.58730158730157</v>
      </c>
      <c r="I37">
        <v>2010</v>
      </c>
      <c r="J37">
        <v>2022</v>
      </c>
      <c r="K37" s="24">
        <f>Tabel2[[#This Row],[ijkdatum]]-Tabel2[[#This Row],[Geboren]]</f>
        <v>12</v>
      </c>
      <c r="L37" s="26">
        <f>Tabel2[[#This Row],[TTL 1]]+Tabel2[[#This Row],[TTL 2]]+Tabel2[[#This Row],[TTL 3]]+Tabel2[[#This Row],[TTL 4]]+Tabel2[[#This Row],[TTL 5]]+Tabel2[[#This Row],[TTL 6]]+Tabel2[[#This Row],[TTL 7]]+Tabel2[[#This Row],[TTL 8]]+Tabel2[[#This Row],[TTL 9]]+Tabel2[[#This Row],[TTL 10]]</f>
        <v>99</v>
      </c>
      <c r="M37" s="153">
        <v>276.58730158730157</v>
      </c>
      <c r="N37">
        <v>3</v>
      </c>
      <c r="O37">
        <v>10</v>
      </c>
      <c r="P37">
        <v>6</v>
      </c>
      <c r="Q37">
        <v>39</v>
      </c>
      <c r="S37" s="153">
        <f>SUM(Tabel2[[#This Row],[V 1]]*10+Tabel2[[#This Row],[GT 1]])/Tabel2[[#This Row],[AW 1]]*10+Tabel2[[#This Row],[BONUS 1]]</f>
        <v>99</v>
      </c>
      <c r="U37">
        <v>1</v>
      </c>
      <c r="Y37" s="153">
        <f>SUM(Tabel2[[#This Row],[V 2]]*10+Tabel2[[#This Row],[GT 2]])/Tabel2[[#This Row],[AW 2]]*10+Tabel2[[#This Row],[BONUS 2]]</f>
        <v>0</v>
      </c>
      <c r="AA37">
        <v>1</v>
      </c>
      <c r="AE37" s="153">
        <f>SUM(Tabel2[[#This Row],[V 3]]*10+Tabel2[[#This Row],[GT 3]])/Tabel2[[#This Row],[AW 3]]*10+Tabel2[[#This Row],[BONUS 3]]</f>
        <v>0</v>
      </c>
      <c r="AG37">
        <v>1</v>
      </c>
      <c r="AK37" s="153">
        <f>SUM(Tabel2[[#This Row],[V 4]]*10+Tabel2[[#This Row],[GT 4]])/Tabel2[[#This Row],[AW 4]]*10+Tabel2[[#This Row],[BONUS 4]]</f>
        <v>0</v>
      </c>
      <c r="AM37">
        <v>1</v>
      </c>
      <c r="AQ37" s="153">
        <f>SUM(Tabel2[[#This Row],[V 5]]*10+Tabel2[[#This Row],[GT 5]])/Tabel2[[#This Row],[AW 5]]*10+Tabel2[[#This Row],[BONUS 5]]</f>
        <v>0</v>
      </c>
      <c r="AS37">
        <v>1</v>
      </c>
      <c r="AW37" s="153">
        <f>SUM(Tabel2[[#This Row],[V 6]]*10+Tabel2[[#This Row],[GT 6]])/Tabel2[[#This Row],[AW 6]]*10+Tabel2[[#This Row],[BONUS 6]]</f>
        <v>0</v>
      </c>
      <c r="AY37">
        <v>1</v>
      </c>
      <c r="BC37" s="23">
        <f>SUM(Tabel2[[#This Row],[V 7]]*10+Tabel2[[#This Row],[GT 7]])/Tabel2[[#This Row],[AW 7]]*10+Tabel2[[#This Row],[BONUS 7]]</f>
        <v>0</v>
      </c>
      <c r="BE37">
        <v>1</v>
      </c>
      <c r="BI37" s="23">
        <f>SUM(Tabel2[[#This Row],[V 8]]*10+Tabel2[[#This Row],[GT 8]])/Tabel2[[#This Row],[AW 8]]*10+Tabel2[[#This Row],[BONUS 8]]</f>
        <v>0</v>
      </c>
      <c r="BK37">
        <v>1</v>
      </c>
      <c r="BO37" s="15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7" s="22">
        <v>250</v>
      </c>
      <c r="BX37" s="22">
        <f>Tabel2[[#This Row],[Diploma]]-Tabel2[[#This Row],[Uitgeschreven]]</f>
        <v>0</v>
      </c>
      <c r="BY37" s="155" t="str">
        <f>IF(BX37=0,"geen actie",CONCATENATE("diploma uitschrijven: ",BV37," punten"))</f>
        <v>geen actie</v>
      </c>
      <c r="CA37" s="150">
        <f>Tabel2[[#This Row],[pnt t/m 2021/22]]</f>
        <v>276.58730158730157</v>
      </c>
      <c r="CB37" s="150">
        <f>Tabel2[[#This Row],[pnt 2022/2023]]</f>
        <v>99</v>
      </c>
      <c r="CC37" s="150">
        <f t="shared" si="6"/>
        <v>375.58730158730157</v>
      </c>
      <c r="CD37" s="150">
        <f>IF(Tabel2[[#This Row],[LPR 1]]&gt;0,1,0)</f>
        <v>1</v>
      </c>
      <c r="CE37" s="150">
        <f>IF(Tabel2[[#This Row],[LPR 2]]&gt;0,1,0)</f>
        <v>0</v>
      </c>
      <c r="CF37" s="150">
        <f>IF(Tabel2[[#This Row],[LPR 3]]&gt;0,1,0)</f>
        <v>0</v>
      </c>
      <c r="CG37" s="150">
        <f>IF(Tabel2[[#This Row],[LPR 4]]&gt;0,1,0)</f>
        <v>0</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1</v>
      </c>
      <c r="CO37" s="22" t="str">
        <f t="shared" si="1"/>
        <v/>
      </c>
      <c r="CP37" s="22" t="str">
        <f t="shared" si="2"/>
        <v/>
      </c>
      <c r="CQ37" s="22" t="str">
        <f t="shared" si="3"/>
        <v/>
      </c>
      <c r="CR37" s="22" t="str">
        <f t="shared" si="4"/>
        <v/>
      </c>
      <c r="CS37" s="22" t="str">
        <f t="shared" si="5"/>
        <v/>
      </c>
    </row>
    <row r="38" spans="1:97" x14ac:dyDescent="0.3">
      <c r="A38" s="22" t="s">
        <v>140</v>
      </c>
      <c r="B38" s="22" t="s">
        <v>779</v>
      </c>
      <c r="D38" s="22" t="s">
        <v>137</v>
      </c>
      <c r="E38" t="s">
        <v>193</v>
      </c>
      <c r="F38" s="22">
        <v>120340</v>
      </c>
      <c r="G38" s="25" t="s">
        <v>151</v>
      </c>
      <c r="H38" s="142">
        <f>Tabel2[[#This Row],[pnt t/m 2021/22]]+Tabel2[[#This Row],[pnt 2022/2023]]</f>
        <v>378.43956043956041</v>
      </c>
      <c r="I38">
        <v>2013</v>
      </c>
      <c r="J38">
        <v>2022</v>
      </c>
      <c r="K38" s="24">
        <f>Tabel2[[#This Row],[ijkdatum]]-Tabel2[[#This Row],[Geboren]]</f>
        <v>9</v>
      </c>
      <c r="L38" s="26">
        <f>Tabel2[[#This Row],[TTL 1]]+Tabel2[[#This Row],[TTL 2]]+Tabel2[[#This Row],[TTL 3]]+Tabel2[[#This Row],[TTL 4]]+Tabel2[[#This Row],[TTL 5]]+Tabel2[[#This Row],[TTL 6]]+Tabel2[[#This Row],[TTL 7]]+Tabel2[[#This Row],[TTL 8]]+Tabel2[[#This Row],[TTL 9]]+Tabel2[[#This Row],[TTL 10]]</f>
        <v>0</v>
      </c>
      <c r="M38" s="153">
        <v>378.43956043956041</v>
      </c>
      <c r="O38">
        <v>1</v>
      </c>
      <c r="S38" s="153">
        <f>SUM(Tabel2[[#This Row],[V 1]]*10+Tabel2[[#This Row],[GT 1]])/Tabel2[[#This Row],[AW 1]]*10+Tabel2[[#This Row],[BONUS 1]]</f>
        <v>0</v>
      </c>
      <c r="U38">
        <v>1</v>
      </c>
      <c r="Y38" s="23">
        <f>SUM(Tabel2[[#This Row],[V 2]]*10+Tabel2[[#This Row],[GT 2]])/Tabel2[[#This Row],[AW 2]]*10+Tabel2[[#This Row],[BONUS 2]]</f>
        <v>0</v>
      </c>
      <c r="AA38">
        <v>1</v>
      </c>
      <c r="AE38" s="23">
        <f>SUM(Tabel2[[#This Row],[V 3]]*10+Tabel2[[#This Row],[GT 3]])/Tabel2[[#This Row],[AW 3]]*10+Tabel2[[#This Row],[BONUS 3]]</f>
        <v>0</v>
      </c>
      <c r="AG38">
        <v>1</v>
      </c>
      <c r="AK38" s="23">
        <f>SUM(Tabel2[[#This Row],[V 4]]*10+Tabel2[[#This Row],[GT 4]])/Tabel2[[#This Row],[AW 4]]*10+Tabel2[[#This Row],[BONUS 4]]</f>
        <v>0</v>
      </c>
      <c r="AM38">
        <v>1</v>
      </c>
      <c r="AQ38" s="23">
        <f>SUM(Tabel2[[#This Row],[V 5]]*10+Tabel2[[#This Row],[GT 5]])/Tabel2[[#This Row],[AW 5]]*10+Tabel2[[#This Row],[BONUS 5]]</f>
        <v>0</v>
      </c>
      <c r="AS38">
        <v>1</v>
      </c>
      <c r="AW38" s="23">
        <f>SUM(Tabel2[[#This Row],[V 6]]*10+Tabel2[[#This Row],[GT 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2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8" s="22">
        <v>250</v>
      </c>
      <c r="BX38" s="22">
        <f>Tabel2[[#This Row],[Diploma]]-Tabel2[[#This Row],[Uitgeschreven]]</f>
        <v>0</v>
      </c>
      <c r="BY38" s="155" t="str">
        <f>IF(BX38=0,"geen actie",CONCATENATE("diploma uitschrijven: ",BV38," punten"))</f>
        <v>geen actie</v>
      </c>
      <c r="CA38" s="150">
        <f>Tabel2[[#This Row],[pnt t/m 2021/22]]</f>
        <v>378.43956043956041</v>
      </c>
      <c r="CB38" s="150">
        <f>Tabel2[[#This Row],[pnt 2022/2023]]</f>
        <v>0</v>
      </c>
      <c r="CC38" s="150">
        <f t="shared" si="6"/>
        <v>378.43956043956041</v>
      </c>
      <c r="CD38" s="150">
        <f>IF(Tabel2[[#This Row],[LPR 1]]&gt;0,1,0)</f>
        <v>0</v>
      </c>
      <c r="CE38" s="150">
        <f>IF(Tabel2[[#This Row],[LPR 2]]&gt;0,1,0)</f>
        <v>0</v>
      </c>
      <c r="CF38" s="150">
        <f>IF(Tabel2[[#This Row],[LPR 3]]&gt;0,1,0)</f>
        <v>0</v>
      </c>
      <c r="CG38" s="150">
        <f>IF(Tabel2[[#This Row],[LPR 4]]&gt;0,1,0)</f>
        <v>0</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0</v>
      </c>
      <c r="CO38" s="22" t="str">
        <f t="shared" si="1"/>
        <v/>
      </c>
      <c r="CP38" s="22" t="str">
        <f t="shared" si="2"/>
        <v/>
      </c>
      <c r="CQ38" s="22" t="str">
        <f t="shared" si="3"/>
        <v/>
      </c>
      <c r="CR38" s="22" t="str">
        <f t="shared" si="4"/>
        <v/>
      </c>
      <c r="CS38" s="22" t="str">
        <f t="shared" si="5"/>
        <v/>
      </c>
    </row>
    <row r="39" spans="1:97" x14ac:dyDescent="0.3">
      <c r="A39" s="22" t="s">
        <v>169</v>
      </c>
      <c r="B39" s="22" t="s">
        <v>778</v>
      </c>
      <c r="D39" s="22" t="s">
        <v>137</v>
      </c>
      <c r="E39" t="s">
        <v>194</v>
      </c>
      <c r="F39" s="22">
        <v>118935</v>
      </c>
      <c r="G39" s="25" t="s">
        <v>180</v>
      </c>
      <c r="H39" s="142">
        <f>Tabel2[[#This Row],[pnt t/m 2021/22]]+Tabel2[[#This Row],[pnt 2022/2023]]</f>
        <v>310</v>
      </c>
      <c r="I39">
        <v>2012</v>
      </c>
      <c r="J39">
        <v>2022</v>
      </c>
      <c r="K39" s="24">
        <f>Tabel2[[#This Row],[ijkdatum]]-Tabel2[[#This Row],[Geboren]]</f>
        <v>10</v>
      </c>
      <c r="L39" s="26">
        <f>Tabel2[[#This Row],[TTL 1]]+Tabel2[[#This Row],[TTL 2]]+Tabel2[[#This Row],[TTL 3]]+Tabel2[[#This Row],[TTL 4]]+Tabel2[[#This Row],[TTL 5]]+Tabel2[[#This Row],[TTL 6]]+Tabel2[[#This Row],[TTL 7]]+Tabel2[[#This Row],[TTL 8]]+Tabel2[[#This Row],[TTL 9]]+Tabel2[[#This Row],[TTL 10]]</f>
        <v>0</v>
      </c>
      <c r="M39" s="141">
        <v>310</v>
      </c>
      <c r="O39">
        <v>1</v>
      </c>
      <c r="S39" s="23">
        <f>SUM(Tabel2[[#This Row],[V 1]]*10+Tabel2[[#This Row],[GT 1]])/Tabel2[[#This Row],[AW 1]]*10+Tabel2[[#This Row],[BONUS 1]]</f>
        <v>0</v>
      </c>
      <c r="U39">
        <v>1</v>
      </c>
      <c r="Y39" s="23">
        <f>SUM(Tabel2[[#This Row],[V 2]]*10+Tabel2[[#This Row],[GT 2]])/Tabel2[[#This Row],[AW 2]]*10+Tabel2[[#This Row],[BONUS 2]]</f>
        <v>0</v>
      </c>
      <c r="AA39">
        <v>1</v>
      </c>
      <c r="AE39" s="23">
        <f>SUM(Tabel2[[#This Row],[V 3]]*10+Tabel2[[#This Row],[GT 3]])/Tabel2[[#This Row],[AW 3]]*10+Tabel2[[#This Row],[BONUS 3]]</f>
        <v>0</v>
      </c>
      <c r="AG39">
        <v>1</v>
      </c>
      <c r="AK39" s="23">
        <f>SUM(Tabel2[[#This Row],[V 4]]*10+Tabel2[[#This Row],[GT 4]])/Tabel2[[#This Row],[AW 4]]*10+Tabel2[[#This Row],[BONUS 4]]</f>
        <v>0</v>
      </c>
      <c r="AM39">
        <v>1</v>
      </c>
      <c r="AQ39" s="23">
        <f>SUM(Tabel2[[#This Row],[V 5]]*10+Tabel2[[#This Row],[GT 5]])/Tabel2[[#This Row],[AW 5]]*10+Tabel2[[#This Row],[BONUS 5]]</f>
        <v>0</v>
      </c>
      <c r="AS39">
        <v>1</v>
      </c>
      <c r="AW39" s="23">
        <f>SUM(Tabel2[[#This Row],[V 6]]*10+Tabel2[[#This Row],[GT 6]])/Tabel2[[#This Row],[AW 6]]*10+Tabel2[[#This Row],[BONUS 6]]</f>
        <v>0</v>
      </c>
      <c r="AY39">
        <v>1</v>
      </c>
      <c r="BC39" s="23">
        <f>SUM(Tabel2[[#This Row],[V 7]]*10+Tabel2[[#This Row],[GT 7]])/Tabel2[[#This Row],[AW 7]]*10+Tabel2[[#This Row],[BONUS 7]]</f>
        <v>0</v>
      </c>
      <c r="BE39">
        <v>1</v>
      </c>
      <c r="BI39" s="23">
        <f>SUM(Tabel2[[#This Row],[V 8]]*10+Tabel2[[#This Row],[GT 8]])/Tabel2[[#This Row],[AW 8]]*10+Tabel2[[#This Row],[BONUS 8]]</f>
        <v>0</v>
      </c>
      <c r="BK39">
        <v>1</v>
      </c>
      <c r="BO39" s="2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9" s="22">
        <v>250</v>
      </c>
      <c r="BX39" s="30">
        <f>Tabel2[[#This Row],[Diploma]]-Tabel2[[#This Row],[Uitgeschreven]]</f>
        <v>0</v>
      </c>
      <c r="BY39" s="2" t="str">
        <f>IF(BX39=0,"geen actie",CONCATENATE("diploma uitschrijven: ",BV39," punten"))</f>
        <v>geen actie</v>
      </c>
      <c r="CA39" s="150">
        <f>Tabel2[[#This Row],[pnt t/m 2021/22]]</f>
        <v>310</v>
      </c>
      <c r="CB39" s="150">
        <f>Tabel2[[#This Row],[pnt 2022/2023]]</f>
        <v>0</v>
      </c>
      <c r="CC39" s="150">
        <f t="shared" si="6"/>
        <v>310</v>
      </c>
      <c r="CD39" s="150">
        <f>IF(Tabel2[[#This Row],[LPR 1]]&gt;0,1,0)</f>
        <v>0</v>
      </c>
      <c r="CE39" s="150">
        <f>IF(Tabel2[[#This Row],[LPR 2]]&gt;0,1,0)</f>
        <v>0</v>
      </c>
      <c r="CF39" s="150">
        <f>IF(Tabel2[[#This Row],[LPR 3]]&gt;0,1,0)</f>
        <v>0</v>
      </c>
      <c r="CG39" s="150">
        <f>IF(Tabel2[[#This Row],[LPR 4]]&gt;0,1,0)</f>
        <v>0</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0</v>
      </c>
      <c r="CO39" s="22" t="str">
        <f t="shared" si="1"/>
        <v/>
      </c>
      <c r="CP39" s="22" t="str">
        <f t="shared" si="2"/>
        <v/>
      </c>
      <c r="CQ39" s="22" t="str">
        <f t="shared" si="3"/>
        <v/>
      </c>
      <c r="CR39" s="22" t="str">
        <f t="shared" si="4"/>
        <v/>
      </c>
      <c r="CS39" s="22" t="str">
        <f t="shared" si="5"/>
        <v/>
      </c>
    </row>
    <row r="40" spans="1:97" x14ac:dyDescent="0.3">
      <c r="A40" s="22" t="s">
        <v>140</v>
      </c>
      <c r="B40" s="22" t="s">
        <v>778</v>
      </c>
      <c r="D40" s="22" t="s">
        <v>137</v>
      </c>
      <c r="E40" t="s">
        <v>195</v>
      </c>
      <c r="F40" s="22">
        <v>120153</v>
      </c>
      <c r="G40" s="25" t="s">
        <v>196</v>
      </c>
      <c r="H40" s="142">
        <f>Tabel2[[#This Row],[pnt t/m 2021/22]]+Tabel2[[#This Row],[pnt 2022/2023]]</f>
        <v>958.20202020202021</v>
      </c>
      <c r="I40">
        <v>2013</v>
      </c>
      <c r="J40">
        <v>2022</v>
      </c>
      <c r="K40" s="24">
        <f>Tabel2[[#This Row],[ijkdatum]]-Tabel2[[#This Row],[Geboren]]</f>
        <v>9</v>
      </c>
      <c r="L40" s="26">
        <f>Tabel2[[#This Row],[TTL 1]]+Tabel2[[#This Row],[TTL 2]]+Tabel2[[#This Row],[TTL 3]]+Tabel2[[#This Row],[TTL 4]]+Tabel2[[#This Row],[TTL 5]]+Tabel2[[#This Row],[TTL 6]]+Tabel2[[#This Row],[TTL 7]]+Tabel2[[#This Row],[TTL 8]]+Tabel2[[#This Row],[TTL 9]]+Tabel2[[#This Row],[TTL 10]]</f>
        <v>148.57142857142858</v>
      </c>
      <c r="M40" s="141">
        <v>809.63059163059165</v>
      </c>
      <c r="O40">
        <v>1</v>
      </c>
      <c r="S40" s="23">
        <f>SUM(Tabel2[[#This Row],[V 1]]*10+Tabel2[[#This Row],[GT 1]])/Tabel2[[#This Row],[AW 1]]*10+Tabel2[[#This Row],[BONUS 1]]</f>
        <v>0</v>
      </c>
      <c r="T40">
        <v>7</v>
      </c>
      <c r="U40">
        <v>7</v>
      </c>
      <c r="V40">
        <v>7</v>
      </c>
      <c r="W40">
        <v>34</v>
      </c>
      <c r="Y40" s="23">
        <f>SUM(Tabel2[[#This Row],[V 2]]*10+Tabel2[[#This Row],[GT 2]])/Tabel2[[#This Row],[AW 2]]*10+Tabel2[[#This Row],[BONUS 2]]</f>
        <v>148.57142857142858</v>
      </c>
      <c r="AA40">
        <v>1</v>
      </c>
      <c r="AE40" s="23">
        <f>SUM(Tabel2[[#This Row],[V 3]]*10+Tabel2[[#This Row],[GT 3]])/Tabel2[[#This Row],[AW 3]]*10+Tabel2[[#This Row],[BONUS 3]]</f>
        <v>0</v>
      </c>
      <c r="AG40">
        <v>1</v>
      </c>
      <c r="AK40" s="23">
        <f>SUM(Tabel2[[#This Row],[V 4]]*10+Tabel2[[#This Row],[GT 4]])/Tabel2[[#This Row],[AW 4]]*10+Tabel2[[#This Row],[BONUS 4]]</f>
        <v>0</v>
      </c>
      <c r="AM40">
        <v>1</v>
      </c>
      <c r="AQ40" s="23">
        <f>SUM(Tabel2[[#This Row],[V 5]]*10+Tabel2[[#This Row],[GT 5]])/Tabel2[[#This Row],[AW 5]]*10+Tabel2[[#This Row],[BONUS 5]]</f>
        <v>0</v>
      </c>
      <c r="AS40">
        <v>1</v>
      </c>
      <c r="AW40" s="23">
        <f>SUM(Tabel2[[#This Row],[V 6]]*10+Tabel2[[#This Row],[GT 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23">
        <f>SUM(Tabel2[[#This Row],[V 9]]*10+Tabel2[[#This Row],[GT 9]])/Tabel2[[#This Row],[AW 9]]*10+Tabel2[[#This Row],[BONUS 9]]</f>
        <v>0</v>
      </c>
      <c r="BQ40">
        <v>1</v>
      </c>
      <c r="BU40" s="23">
        <f>SUM(Tabel2[[#This Row],[V 10]]*10+Tabel2[[#This Row],[GT 10]])/Tabel2[[#This Row],[AW 10]]*10+Tabel2[[#This Row],[BONUS 10]]</f>
        <v>0</v>
      </c>
      <c r="BV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40" s="22">
        <v>750</v>
      </c>
      <c r="BX40" s="30">
        <f>Tabel2[[#This Row],[Diploma]]-Tabel2[[#This Row],[Uitgeschreven]]</f>
        <v>0</v>
      </c>
      <c r="BY40" s="2" t="str">
        <f>IF(BX40=0,"geen actie",CONCATENATE("diploma uitschrijven: ",BV40," punten"))</f>
        <v>geen actie</v>
      </c>
      <c r="CA40" s="150">
        <f>Tabel2[[#This Row],[pnt t/m 2021/22]]</f>
        <v>809.63059163059165</v>
      </c>
      <c r="CB40" s="150">
        <f>Tabel2[[#This Row],[pnt 2022/2023]]</f>
        <v>148.57142857142858</v>
      </c>
      <c r="CC40" s="150">
        <f t="shared" si="6"/>
        <v>958.20202020202021</v>
      </c>
      <c r="CD40" s="150">
        <f>IF(Tabel2[[#This Row],[LPR 1]]&gt;0,1,0)</f>
        <v>0</v>
      </c>
      <c r="CE40" s="150">
        <f>IF(Tabel2[[#This Row],[LPR 2]]&gt;0,1,0)</f>
        <v>1</v>
      </c>
      <c r="CF40" s="150">
        <f>IF(Tabel2[[#This Row],[LPR 3]]&gt;0,1,0)</f>
        <v>0</v>
      </c>
      <c r="CG40" s="150">
        <f>IF(Tabel2[[#This Row],[LPR 4]]&gt;0,1,0)</f>
        <v>0</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1</v>
      </c>
      <c r="CO40" s="22" t="str">
        <f t="shared" si="1"/>
        <v/>
      </c>
      <c r="CP40" s="22" t="str">
        <f t="shared" si="2"/>
        <v/>
      </c>
      <c r="CQ40" s="22" t="str">
        <f t="shared" si="3"/>
        <v/>
      </c>
      <c r="CR40" s="22" t="str">
        <f t="shared" si="4"/>
        <v/>
      </c>
      <c r="CS40" s="22" t="str">
        <f t="shared" si="5"/>
        <v/>
      </c>
    </row>
    <row r="41" spans="1:97" x14ac:dyDescent="0.3">
      <c r="A41" s="22" t="s">
        <v>143</v>
      </c>
      <c r="B41" s="22" t="s">
        <v>778</v>
      </c>
      <c r="D41" s="22" t="s">
        <v>137</v>
      </c>
      <c r="E41" t="s">
        <v>197</v>
      </c>
      <c r="F41" s="22">
        <v>118287</v>
      </c>
      <c r="G41" s="25" t="s">
        <v>151</v>
      </c>
      <c r="H41" s="142">
        <f>Tabel2[[#This Row],[pnt t/m 2021/22]]+Tabel2[[#This Row],[pnt 2022/2023]]</f>
        <v>139.33333333333331</v>
      </c>
      <c r="I41">
        <v>2005</v>
      </c>
      <c r="J41">
        <v>2022</v>
      </c>
      <c r="K41" s="24">
        <f>Tabel2[[#This Row],[ijkdatum]]-Tabel2[[#This Row],[Geboren]]</f>
        <v>17</v>
      </c>
      <c r="L41" s="26">
        <f>Tabel2[[#This Row],[TTL 1]]+Tabel2[[#This Row],[TTL 2]]+Tabel2[[#This Row],[TTL 3]]+Tabel2[[#This Row],[TTL 4]]+Tabel2[[#This Row],[TTL 5]]+Tabel2[[#This Row],[TTL 6]]+Tabel2[[#This Row],[TTL 7]]+Tabel2[[#This Row],[TTL 8]]+Tabel2[[#This Row],[TTL 9]]+Tabel2[[#This Row],[TTL 10]]</f>
        <v>0</v>
      </c>
      <c r="M41" s="141">
        <v>139.33333333333331</v>
      </c>
      <c r="O41">
        <v>1</v>
      </c>
      <c r="S41" s="23">
        <f>SUM(Tabel2[[#This Row],[V 1]]*10+Tabel2[[#This Row],[GT 1]])/Tabel2[[#This Row],[AW 1]]*10+Tabel2[[#This Row],[BONUS 1]]</f>
        <v>0</v>
      </c>
      <c r="U41">
        <v>1</v>
      </c>
      <c r="Y41" s="23">
        <f>SUM(Tabel2[[#This Row],[V 2]]*10+Tabel2[[#This Row],[GT 2]])/Tabel2[[#This Row],[AW 2]]*10+Tabel2[[#This Row],[BONUS 2]]</f>
        <v>0</v>
      </c>
      <c r="AA41">
        <v>1</v>
      </c>
      <c r="AE41" s="23">
        <f>SUM(Tabel2[[#This Row],[V 3]]*10+Tabel2[[#This Row],[GT 3]])/Tabel2[[#This Row],[AW 3]]*10+Tabel2[[#This Row],[BONUS 3]]</f>
        <v>0</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 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1" s="22">
        <v>0</v>
      </c>
      <c r="BX41" s="30">
        <f>Tabel2[[#This Row],[Diploma]]-Tabel2[[#This Row],[Uitgeschreven]]</f>
        <v>0</v>
      </c>
      <c r="BY41" s="2" t="str">
        <f>IF(BX41=0,"geen actie",CONCATENATE("diploma uitschrijven: ",BV41," punten"))</f>
        <v>geen actie</v>
      </c>
      <c r="CA41" s="150">
        <f>Tabel2[[#This Row],[pnt t/m 2021/22]]</f>
        <v>139.33333333333331</v>
      </c>
      <c r="CB41" s="150">
        <f>Tabel2[[#This Row],[pnt 2022/2023]]</f>
        <v>0</v>
      </c>
      <c r="CC41" s="150">
        <f t="shared" si="6"/>
        <v>139.33333333333331</v>
      </c>
      <c r="CD41" s="150">
        <f>IF(Tabel2[[#This Row],[LPR 1]]&gt;0,1,0)</f>
        <v>0</v>
      </c>
      <c r="CE41" s="150">
        <f>IF(Tabel2[[#This Row],[LPR 2]]&gt;0,1,0)</f>
        <v>0</v>
      </c>
      <c r="CF41" s="150">
        <f>IF(Tabel2[[#This Row],[LPR 3]]&gt;0,1,0)</f>
        <v>0</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0</v>
      </c>
      <c r="CO41" s="22" t="str">
        <f t="shared" si="1"/>
        <v/>
      </c>
      <c r="CP41" s="22" t="str">
        <f t="shared" si="2"/>
        <v/>
      </c>
      <c r="CQ41" s="22" t="str">
        <f t="shared" si="3"/>
        <v/>
      </c>
      <c r="CR41" s="22" t="str">
        <f t="shared" si="4"/>
        <v/>
      </c>
      <c r="CS41" s="22" t="str">
        <f t="shared" si="5"/>
        <v/>
      </c>
    </row>
    <row r="42" spans="1:97" x14ac:dyDescent="0.3">
      <c r="A42" s="22" t="s">
        <v>140</v>
      </c>
      <c r="B42" s="22" t="s">
        <v>778</v>
      </c>
      <c r="D42" s="22" t="s">
        <v>137</v>
      </c>
      <c r="E42" t="s">
        <v>198</v>
      </c>
      <c r="F42" s="22">
        <v>118706</v>
      </c>
      <c r="G42" s="25" t="s">
        <v>151</v>
      </c>
      <c r="H42" s="142">
        <f>Tabel2[[#This Row],[pnt t/m 2021/22]]+Tabel2[[#This Row],[pnt 2022/2023]]</f>
        <v>1282.6352813852816</v>
      </c>
      <c r="I42">
        <v>2012</v>
      </c>
      <c r="J42">
        <v>2022</v>
      </c>
      <c r="K42" s="24">
        <f>Tabel2[[#This Row],[ijkdatum]]-Tabel2[[#This Row],[Geboren]]</f>
        <v>10</v>
      </c>
      <c r="L42" s="26">
        <f>Tabel2[[#This Row],[TTL 1]]+Tabel2[[#This Row],[TTL 2]]+Tabel2[[#This Row],[TTL 3]]+Tabel2[[#This Row],[TTL 4]]+Tabel2[[#This Row],[TTL 5]]+Tabel2[[#This Row],[TTL 6]]+Tabel2[[#This Row],[TTL 7]]+Tabel2[[#This Row],[TTL 8]]+Tabel2[[#This Row],[TTL 9]]+Tabel2[[#This Row],[TTL 10]]</f>
        <v>0</v>
      </c>
      <c r="M42" s="153">
        <v>1282.6352813852816</v>
      </c>
      <c r="O42">
        <v>1</v>
      </c>
      <c r="S42" s="23">
        <f>SUM(Tabel2[[#This Row],[V 1]]*10+Tabel2[[#This Row],[GT 1]])/Tabel2[[#This Row],[AW 1]]*10+Tabel2[[#This Row],[BONUS 1]]</f>
        <v>0</v>
      </c>
      <c r="U42">
        <v>1</v>
      </c>
      <c r="Y42" s="23">
        <f>SUM(Tabel2[[#This Row],[V 2]]*10+Tabel2[[#This Row],[GT 2]])/Tabel2[[#This Row],[AW 2]]*10+Tabel2[[#This Row],[BONUS 2]]</f>
        <v>0</v>
      </c>
      <c r="AA42">
        <v>1</v>
      </c>
      <c r="AE42" s="23">
        <f>SUM(Tabel2[[#This Row],[V 3]]*10+Tabel2[[#This Row],[GT 3]])/Tabel2[[#This Row],[AW 3]]*10+Tabel2[[#This Row],[BONUS 3]]</f>
        <v>0</v>
      </c>
      <c r="AG42">
        <v>1</v>
      </c>
      <c r="AK42" s="23">
        <f>SUM(Tabel2[[#This Row],[V 4]]*10+Tabel2[[#This Row],[GT 4]])/Tabel2[[#This Row],[AW 4]]*10+Tabel2[[#This Row],[BONUS 4]]</f>
        <v>0</v>
      </c>
      <c r="AM42">
        <v>1</v>
      </c>
      <c r="AQ42" s="23">
        <f>SUM(Tabel2[[#This Row],[V 5]]*10+Tabel2[[#This Row],[GT 5]])/Tabel2[[#This Row],[AW 5]]*10+Tabel2[[#This Row],[BONUS 5]]</f>
        <v>0</v>
      </c>
      <c r="AS42">
        <v>1</v>
      </c>
      <c r="AW42" s="23">
        <f>SUM(Tabel2[[#This Row],[V 6]]*10+Tabel2[[#This Row],[GT 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2" s="22">
        <v>1000</v>
      </c>
      <c r="BX42" s="30">
        <f>Tabel2[[#This Row],[Diploma]]-Tabel2[[#This Row],[Uitgeschreven]]</f>
        <v>0</v>
      </c>
      <c r="BY42" s="2" t="str">
        <f>IF(BX42=0,"geen actie",CONCATENATE("diploma uitschrijven: ",BV42," punten"))</f>
        <v>geen actie</v>
      </c>
      <c r="CA42" s="150">
        <f>Tabel2[[#This Row],[pnt t/m 2021/22]]</f>
        <v>1282.6352813852816</v>
      </c>
      <c r="CB42" s="150">
        <f>Tabel2[[#This Row],[pnt 2022/2023]]</f>
        <v>0</v>
      </c>
      <c r="CC42" s="150">
        <f t="shared" si="6"/>
        <v>1282.6352813852816</v>
      </c>
      <c r="CD42" s="150">
        <f>IF(Tabel2[[#This Row],[LPR 1]]&gt;0,1,0)</f>
        <v>0</v>
      </c>
      <c r="CE42" s="150">
        <f>IF(Tabel2[[#This Row],[LPR 2]]&gt;0,1,0)</f>
        <v>0</v>
      </c>
      <c r="CF42" s="150">
        <f>IF(Tabel2[[#This Row],[LPR 3]]&gt;0,1,0)</f>
        <v>0</v>
      </c>
      <c r="CG42" s="150">
        <f>IF(Tabel2[[#This Row],[LPR 4]]&gt;0,1,0)</f>
        <v>0</v>
      </c>
      <c r="CH42" s="150">
        <f>IF(Tabel2[[#This Row],[LPR 5]]&gt;0,1,0)</f>
        <v>0</v>
      </c>
      <c r="CI42" s="150">
        <f>IF(Tabel2[[#This Row],[LPR 6]]&gt;0,1,0)</f>
        <v>0</v>
      </c>
      <c r="CJ42" s="150">
        <f>IF(Tabel2[[#This Row],[LPR 7]]&gt;0,1,0)</f>
        <v>0</v>
      </c>
      <c r="CK42" s="150">
        <f>IF(Tabel2[[#This Row],[LPR 8]]&gt;0,1,0)</f>
        <v>0</v>
      </c>
      <c r="CL42" s="150">
        <f>IF(Tabel2[[#This Row],[LPR 9]]&gt;0,1,0)</f>
        <v>0</v>
      </c>
      <c r="CM42" s="150">
        <f>IF(Tabel2[[#This Row],[LPR 10]]&gt;0,1,0)</f>
        <v>0</v>
      </c>
      <c r="CN42" s="150">
        <f>SUM(Tabel7[[#This Row],[sep]:[jun]])</f>
        <v>0</v>
      </c>
      <c r="CO42" s="22" t="str">
        <f t="shared" si="1"/>
        <v/>
      </c>
      <c r="CP42" s="22" t="str">
        <f t="shared" si="2"/>
        <v/>
      </c>
      <c r="CQ42" s="22" t="str">
        <f t="shared" si="3"/>
        <v/>
      </c>
      <c r="CR42" s="22" t="str">
        <f t="shared" si="4"/>
        <v/>
      </c>
      <c r="CS42" s="22" t="str">
        <f t="shared" si="5"/>
        <v/>
      </c>
    </row>
    <row r="43" spans="1:97" x14ac:dyDescent="0.3">
      <c r="A43" s="22" t="s">
        <v>140</v>
      </c>
      <c r="B43" s="22" t="s">
        <v>779</v>
      </c>
      <c r="D43" s="22" t="s">
        <v>137</v>
      </c>
      <c r="E43" t="s">
        <v>199</v>
      </c>
      <c r="F43" s="22">
        <v>120456</v>
      </c>
      <c r="G43" s="25" t="s">
        <v>151</v>
      </c>
      <c r="H43" s="23">
        <f>Tabel2[[#This Row],[pnt t/m 2021/22]]+Tabel2[[#This Row],[pnt 2022/2023]]</f>
        <v>181.53968253968256</v>
      </c>
      <c r="I43">
        <v>2013</v>
      </c>
      <c r="J43">
        <v>2022</v>
      </c>
      <c r="K43" s="24">
        <f>Tabel2[[#This Row],[ijkdatum]]-Tabel2[[#This Row],[Geboren]]</f>
        <v>9</v>
      </c>
      <c r="L43" s="26">
        <f>Tabel2[[#This Row],[TTL 1]]+Tabel2[[#This Row],[TTL 2]]+Tabel2[[#This Row],[TTL 3]]+Tabel2[[#This Row],[TTL 4]]+Tabel2[[#This Row],[TTL 5]]+Tabel2[[#This Row],[TTL 6]]+Tabel2[[#This Row],[TTL 7]]+Tabel2[[#This Row],[TTL 8]]+Tabel2[[#This Row],[TTL 9]]+Tabel2[[#This Row],[TTL 10]]</f>
        <v>52.857142857142854</v>
      </c>
      <c r="M43" s="153">
        <v>128.6825396825397</v>
      </c>
      <c r="O43">
        <v>1</v>
      </c>
      <c r="S43" s="153">
        <f>SUM(Tabel2[[#This Row],[V 1]]*10+Tabel2[[#This Row],[GT 1]])/Tabel2[[#This Row],[AW 1]]*10+Tabel2[[#This Row],[BONUS 1]]</f>
        <v>0</v>
      </c>
      <c r="T43">
        <v>7</v>
      </c>
      <c r="U43">
        <v>7</v>
      </c>
      <c r="V43">
        <v>2</v>
      </c>
      <c r="W43">
        <v>17</v>
      </c>
      <c r="Y43" s="23">
        <f>SUM(Tabel2[[#This Row],[V 2]]*10+Tabel2[[#This Row],[GT 2]])/Tabel2[[#This Row],[AW 2]]*10+Tabel2[[#This Row],[BONUS 2]]</f>
        <v>52.857142857142854</v>
      </c>
      <c r="AA43">
        <v>1</v>
      </c>
      <c r="AE43" s="23">
        <f>SUM(Tabel2[[#This Row],[V 3]]*10+Tabel2[[#This Row],[GT 3]])/Tabel2[[#This Row],[AW 3]]*10+Tabel2[[#This Row],[BONUS 3]]</f>
        <v>0</v>
      </c>
      <c r="AG43">
        <v>1</v>
      </c>
      <c r="AK43" s="23">
        <f>SUM(Tabel2[[#This Row],[V 4]]*10+Tabel2[[#This Row],[GT 4]])/Tabel2[[#This Row],[AW 4]]*10+Tabel2[[#This Row],[BONUS 4]]</f>
        <v>0</v>
      </c>
      <c r="AM43">
        <v>1</v>
      </c>
      <c r="AQ43" s="23">
        <f>SUM(Tabel2[[#This Row],[V 5]]*10+Tabel2[[#This Row],[GT 5]])/Tabel2[[#This Row],[AW 5]]*10+Tabel2[[#This Row],[BONUS 5]]</f>
        <v>0</v>
      </c>
      <c r="AS43">
        <v>1</v>
      </c>
      <c r="AW43" s="23">
        <f>SUM(Tabel2[[#This Row],[V 6]]*10+Tabel2[[#This Row],[GT 6]])/Tabel2[[#This Row],[AW 6]]*10+Tabel2[[#This Row],[BONUS 6]]</f>
        <v>0</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3" s="22">
        <v>0</v>
      </c>
      <c r="BX43" s="22">
        <f>Tabel2[[#This Row],[Diploma]]-Tabel2[[#This Row],[Uitgeschreven]]</f>
        <v>0</v>
      </c>
      <c r="BY43" s="155" t="str">
        <f>IF(BX43=0,"geen actie",CONCATENATE("diploma uitschrijven: ",BV43," punten"))</f>
        <v>geen actie</v>
      </c>
      <c r="CA43" s="150">
        <f>Tabel2[[#This Row],[pnt t/m 2021/22]]</f>
        <v>128.6825396825397</v>
      </c>
      <c r="CB43" s="150">
        <f>Tabel2[[#This Row],[pnt 2022/2023]]</f>
        <v>52.857142857142854</v>
      </c>
      <c r="CC43" s="150">
        <f t="shared" si="6"/>
        <v>181.53968253968256</v>
      </c>
      <c r="CD43" s="150">
        <f>IF(Tabel2[[#This Row],[LPR 1]]&gt;0,1,0)</f>
        <v>0</v>
      </c>
      <c r="CE43" s="150">
        <f>IF(Tabel2[[#This Row],[LPR 2]]&gt;0,1,0)</f>
        <v>1</v>
      </c>
      <c r="CF43" s="150">
        <f>IF(Tabel2[[#This Row],[LPR 3]]&gt;0,1,0)</f>
        <v>0</v>
      </c>
      <c r="CG43" s="150">
        <f>IF(Tabel2[[#This Row],[LPR 4]]&gt;0,1,0)</f>
        <v>0</v>
      </c>
      <c r="CH43" s="150">
        <f>IF(Tabel2[[#This Row],[LPR 5]]&gt;0,1,0)</f>
        <v>0</v>
      </c>
      <c r="CI43" s="150">
        <f>IF(Tabel2[[#This Row],[LPR 6]]&gt;0,1,0)</f>
        <v>0</v>
      </c>
      <c r="CJ43" s="150">
        <f>IF(Tabel2[[#This Row],[LPR 7]]&gt;0,1,0)</f>
        <v>0</v>
      </c>
      <c r="CK43" s="150">
        <f>IF(Tabel2[[#This Row],[LPR 8]]&gt;0,1,0)</f>
        <v>0</v>
      </c>
      <c r="CL43" s="150">
        <f>IF(Tabel2[[#This Row],[LPR 9]]&gt;0,1,0)</f>
        <v>0</v>
      </c>
      <c r="CM43" s="150">
        <f>IF(Tabel2[[#This Row],[LPR 10]]&gt;0,1,0)</f>
        <v>0</v>
      </c>
      <c r="CN43" s="150">
        <f>SUM(Tabel7[[#This Row],[sep]:[jun]])</f>
        <v>1</v>
      </c>
      <c r="CO43" s="22" t="str">
        <f t="shared" si="1"/>
        <v/>
      </c>
      <c r="CP43" s="22" t="str">
        <f t="shared" si="2"/>
        <v/>
      </c>
      <c r="CQ43" s="22" t="str">
        <f t="shared" si="3"/>
        <v/>
      </c>
      <c r="CR43" s="22" t="str">
        <f t="shared" si="4"/>
        <v/>
      </c>
      <c r="CS43" s="22" t="str">
        <f t="shared" si="5"/>
        <v/>
      </c>
    </row>
    <row r="44" spans="1:97" x14ac:dyDescent="0.3">
      <c r="A44" s="22" t="s">
        <v>135</v>
      </c>
      <c r="B44" s="22" t="s">
        <v>778</v>
      </c>
      <c r="D44" s="22" t="s">
        <v>137</v>
      </c>
      <c r="E44" t="s">
        <v>200</v>
      </c>
      <c r="F44" s="22">
        <v>120641</v>
      </c>
      <c r="G44" s="25" t="s">
        <v>142</v>
      </c>
      <c r="H44" s="23">
        <f>Tabel2[[#This Row],[pnt t/m 2021/22]]+Tabel2[[#This Row],[pnt 2022/2023]]</f>
        <v>23.333333333333336</v>
      </c>
      <c r="I44">
        <v>2009</v>
      </c>
      <c r="J44">
        <v>2022</v>
      </c>
      <c r="K44" s="24">
        <f>Tabel2[[#This Row],[ijkdatum]]-Tabel2[[#This Row],[Geboren]]</f>
        <v>13</v>
      </c>
      <c r="L44" s="26">
        <f>Tabel2[[#This Row],[TTL 1]]+Tabel2[[#This Row],[TTL 2]]+Tabel2[[#This Row],[TTL 3]]+Tabel2[[#This Row],[TTL 4]]+Tabel2[[#This Row],[TTL 5]]+Tabel2[[#This Row],[TTL 6]]+Tabel2[[#This Row],[TTL 7]]+Tabel2[[#This Row],[TTL 8]]+Tabel2[[#This Row],[TTL 9]]+Tabel2[[#This Row],[TTL 10]]</f>
        <v>0</v>
      </c>
      <c r="M44" s="153">
        <v>23.333333333333336</v>
      </c>
      <c r="O44">
        <v>1</v>
      </c>
      <c r="S44" s="153">
        <f>SUM(Tabel2[[#This Row],[V 1]]*10+Tabel2[[#This Row],[GT 1]])/Tabel2[[#This Row],[AW 1]]*10+Tabel2[[#This Row],[BONUS 1]]</f>
        <v>0</v>
      </c>
      <c r="U44">
        <v>1</v>
      </c>
      <c r="Y44" s="153">
        <f>SUM(Tabel2[[#This Row],[V 2]]*10+Tabel2[[#This Row],[GT 2]])/Tabel2[[#This Row],[AW 2]]*10+Tabel2[[#This Row],[BONUS 2]]</f>
        <v>0</v>
      </c>
      <c r="AA44">
        <v>1</v>
      </c>
      <c r="AE44" s="153">
        <f>SUM(Tabel2[[#This Row],[V 3]]*10+Tabel2[[#This Row],[GT 3]])/Tabel2[[#This Row],[AW 3]]*10+Tabel2[[#This Row],[BONUS 3]]</f>
        <v>0</v>
      </c>
      <c r="AG44">
        <v>1</v>
      </c>
      <c r="AK44" s="153">
        <f>SUM(Tabel2[[#This Row],[V 4]]*10+Tabel2[[#This Row],[GT 4]])/Tabel2[[#This Row],[AW 4]]*10+Tabel2[[#This Row],[BONUS 4]]</f>
        <v>0</v>
      </c>
      <c r="AM44">
        <v>1</v>
      </c>
      <c r="AQ44" s="153">
        <f>SUM(Tabel2[[#This Row],[V 5]]*10+Tabel2[[#This Row],[GT 5]])/Tabel2[[#This Row],[AW 5]]*10+Tabel2[[#This Row],[BONUS 5]]</f>
        <v>0</v>
      </c>
      <c r="AS44">
        <v>1</v>
      </c>
      <c r="AW44" s="153">
        <f>SUM(Tabel2[[#This Row],[V 6]]*10+Tabel2[[#This Row],[GT 6]])/Tabel2[[#This Row],[AW 6]]*10+Tabel2[[#This Row],[BONUS 6]]</f>
        <v>0</v>
      </c>
      <c r="AY44">
        <v>1</v>
      </c>
      <c r="BC44" s="153">
        <f>SUM(Tabel2[[#This Row],[V 7]]*10+Tabel2[[#This Row],[GT 7]])/Tabel2[[#This Row],[AW 7]]*10+Tabel2[[#This Row],[BONUS 7]]</f>
        <v>0</v>
      </c>
      <c r="BE44">
        <v>1</v>
      </c>
      <c r="BI44" s="153">
        <f>SUM(Tabel2[[#This Row],[V 8]]*10+Tabel2[[#This Row],[GT 8]])/Tabel2[[#This Row],[AW 8]]*10+Tabel2[[#This Row],[BONUS 8]]</f>
        <v>0</v>
      </c>
      <c r="BK44">
        <v>1</v>
      </c>
      <c r="BO44" s="15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4" s="22">
        <v>0</v>
      </c>
      <c r="BX44" s="22">
        <f>Tabel2[[#This Row],[Diploma]]-Tabel2[[#This Row],[Uitgeschreven]]</f>
        <v>0</v>
      </c>
      <c r="BY44" s="155" t="str">
        <f>IF(BX44=0,"geen actie",CONCATENATE("diploma uitschrijven: ",BV44," punten"))</f>
        <v>geen actie</v>
      </c>
      <c r="CA44" s="150">
        <f>Tabel2[[#This Row],[pnt t/m 2021/22]]</f>
        <v>23.333333333333336</v>
      </c>
      <c r="CB44" s="150">
        <f>Tabel2[[#This Row],[pnt 2022/2023]]</f>
        <v>0</v>
      </c>
      <c r="CC44" s="150">
        <f t="shared" si="6"/>
        <v>23.333333333333336</v>
      </c>
      <c r="CD44" s="150">
        <f>IF(Tabel2[[#This Row],[LPR 1]]&gt;0,1,0)</f>
        <v>0</v>
      </c>
      <c r="CE44" s="150">
        <f>IF(Tabel2[[#This Row],[LPR 2]]&gt;0,1,0)</f>
        <v>0</v>
      </c>
      <c r="CF44" s="150">
        <f>IF(Tabel2[[#This Row],[LPR 3]]&gt;0,1,0)</f>
        <v>0</v>
      </c>
      <c r="CG44" s="150">
        <f>IF(Tabel2[[#This Row],[LPR 4]]&gt;0,1,0)</f>
        <v>0</v>
      </c>
      <c r="CH44" s="150">
        <f>IF(Tabel2[[#This Row],[LPR 5]]&gt;0,1,0)</f>
        <v>0</v>
      </c>
      <c r="CI44" s="150">
        <f>IF(Tabel2[[#This Row],[LPR 6]]&gt;0,1,0)</f>
        <v>0</v>
      </c>
      <c r="CJ44" s="150">
        <f>IF(Tabel2[[#This Row],[LPR 7]]&gt;0,1,0)</f>
        <v>0</v>
      </c>
      <c r="CK44" s="150">
        <f>IF(Tabel2[[#This Row],[LPR 8]]&gt;0,1,0)</f>
        <v>0</v>
      </c>
      <c r="CL44" s="150">
        <f>IF(Tabel2[[#This Row],[LPR 9]]&gt;0,1,0)</f>
        <v>0</v>
      </c>
      <c r="CM44" s="150">
        <f>IF(Tabel2[[#This Row],[LPR 10]]&gt;0,1,0)</f>
        <v>0</v>
      </c>
      <c r="CN44" s="150">
        <f>SUM(Tabel7[[#This Row],[sep]:[jun]])</f>
        <v>0</v>
      </c>
      <c r="CO44" s="22" t="str">
        <f t="shared" si="1"/>
        <v/>
      </c>
      <c r="CP44" s="22" t="str">
        <f t="shared" si="2"/>
        <v/>
      </c>
      <c r="CQ44" s="22" t="str">
        <f t="shared" si="3"/>
        <v/>
      </c>
      <c r="CR44" s="22" t="str">
        <f t="shared" si="4"/>
        <v/>
      </c>
      <c r="CS44" s="22" t="str">
        <f t="shared" si="5"/>
        <v/>
      </c>
    </row>
    <row r="45" spans="1:97" x14ac:dyDescent="0.3">
      <c r="A45" s="22" t="s">
        <v>153</v>
      </c>
      <c r="B45" s="22" t="s">
        <v>778</v>
      </c>
      <c r="D45" s="22" t="s">
        <v>137</v>
      </c>
      <c r="E45" t="s">
        <v>201</v>
      </c>
      <c r="F45" s="22">
        <v>117974</v>
      </c>
      <c r="G45" s="25" t="s">
        <v>202</v>
      </c>
      <c r="H45" s="142">
        <f>Tabel2[[#This Row],[pnt t/m 2021/22]]+Tabel2[[#This Row],[pnt 2022/2023]]</f>
        <v>740.34848484848476</v>
      </c>
      <c r="I45">
        <v>2011</v>
      </c>
      <c r="J45">
        <v>2022</v>
      </c>
      <c r="K45" s="24">
        <f>Tabel2[[#This Row],[ijkdatum]]-Tabel2[[#This Row],[Geboren]]</f>
        <v>11</v>
      </c>
      <c r="L45" s="26">
        <f>Tabel2[[#This Row],[TTL 1]]+Tabel2[[#This Row],[TTL 2]]+Tabel2[[#This Row],[TTL 3]]+Tabel2[[#This Row],[TTL 4]]+Tabel2[[#This Row],[TTL 5]]+Tabel2[[#This Row],[TTL 6]]+Tabel2[[#This Row],[TTL 7]]+Tabel2[[#This Row],[TTL 8]]+Tabel2[[#This Row],[TTL 9]]+Tabel2[[#This Row],[TTL 10]]</f>
        <v>0</v>
      </c>
      <c r="M45" s="141">
        <v>740.34848484848476</v>
      </c>
      <c r="O45">
        <v>1</v>
      </c>
      <c r="S45" s="23">
        <f>SUM(Tabel2[[#This Row],[V 1]]*10+Tabel2[[#This Row],[GT 1]])/Tabel2[[#This Row],[AW 1]]*10+Tabel2[[#This Row],[BONUS 1]]</f>
        <v>0</v>
      </c>
      <c r="U45">
        <v>1</v>
      </c>
      <c r="Y45" s="23">
        <f>SUM(Tabel2[[#This Row],[V 2]]*10+Tabel2[[#This Row],[GT 2]])/Tabel2[[#This Row],[AW 2]]*10+Tabel2[[#This Row],[BONUS 2]]</f>
        <v>0</v>
      </c>
      <c r="AA45">
        <v>1</v>
      </c>
      <c r="AE45" s="23">
        <f>SUM(Tabel2[[#This Row],[V 3]]*10+Tabel2[[#This Row],[GT 3]])/Tabel2[[#This Row],[AW 3]]*10+Tabel2[[#This Row],[BONUS 3]]</f>
        <v>0</v>
      </c>
      <c r="AG45">
        <v>1</v>
      </c>
      <c r="AK45" s="23">
        <f>SUM(Tabel2[[#This Row],[V 4]]*10+Tabel2[[#This Row],[GT 4]])/Tabel2[[#This Row],[AW 4]]*10+Tabel2[[#This Row],[BONUS 4]]</f>
        <v>0</v>
      </c>
      <c r="AM45">
        <v>1</v>
      </c>
      <c r="AQ45" s="23">
        <f>SUM(Tabel2[[#This Row],[V 5]]*10+Tabel2[[#This Row],[GT 5]])/Tabel2[[#This Row],[AW 5]]*10+Tabel2[[#This Row],[BONUS 5]]</f>
        <v>0</v>
      </c>
      <c r="AS45">
        <v>1</v>
      </c>
      <c r="AW45" s="23">
        <f>SUM(Tabel2[[#This Row],[V 6]]*10+Tabel2[[#This Row],[GT 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5" s="22">
        <v>500</v>
      </c>
      <c r="BX45" s="30">
        <f>Tabel2[[#This Row],[Diploma]]-Tabel2[[#This Row],[Uitgeschreven]]</f>
        <v>0</v>
      </c>
      <c r="BY45" s="2" t="str">
        <f>IF(BX45=0,"geen actie",CONCATENATE("diploma uitschrijven: ",BV45," punten"))</f>
        <v>geen actie</v>
      </c>
      <c r="CA45" s="150">
        <f>Tabel2[[#This Row],[pnt t/m 2021/22]]</f>
        <v>740.34848484848476</v>
      </c>
      <c r="CB45" s="150">
        <f>Tabel2[[#This Row],[pnt 2022/2023]]</f>
        <v>0</v>
      </c>
      <c r="CC45" s="150">
        <f t="shared" si="6"/>
        <v>740.34848484848476</v>
      </c>
      <c r="CD45" s="150">
        <f>IF(Tabel2[[#This Row],[LPR 1]]&gt;0,1,0)</f>
        <v>0</v>
      </c>
      <c r="CE45" s="150">
        <f>IF(Tabel2[[#This Row],[LPR 2]]&gt;0,1,0)</f>
        <v>0</v>
      </c>
      <c r="CF45" s="150">
        <f>IF(Tabel2[[#This Row],[LPR 3]]&gt;0,1,0)</f>
        <v>0</v>
      </c>
      <c r="CG45" s="150">
        <f>IF(Tabel2[[#This Row],[LPR 4]]&gt;0,1,0)</f>
        <v>0</v>
      </c>
      <c r="CH45" s="150">
        <f>IF(Tabel2[[#This Row],[LPR 5]]&gt;0,1,0)</f>
        <v>0</v>
      </c>
      <c r="CI45" s="150">
        <f>IF(Tabel2[[#This Row],[LPR 6]]&gt;0,1,0)</f>
        <v>0</v>
      </c>
      <c r="CJ45" s="150">
        <f>IF(Tabel2[[#This Row],[LPR 7]]&gt;0,1,0)</f>
        <v>0</v>
      </c>
      <c r="CK45" s="150">
        <f>IF(Tabel2[[#This Row],[LPR 8]]&gt;0,1,0)</f>
        <v>0</v>
      </c>
      <c r="CL45" s="150">
        <f>IF(Tabel2[[#This Row],[LPR 9]]&gt;0,1,0)</f>
        <v>0</v>
      </c>
      <c r="CM45" s="150">
        <f>IF(Tabel2[[#This Row],[LPR 10]]&gt;0,1,0)</f>
        <v>0</v>
      </c>
      <c r="CN45" s="150">
        <f>SUM(Tabel7[[#This Row],[sep]:[jun]])</f>
        <v>0</v>
      </c>
      <c r="CO45" s="22" t="str">
        <f t="shared" si="1"/>
        <v/>
      </c>
      <c r="CP45" s="22" t="str">
        <f t="shared" si="2"/>
        <v/>
      </c>
      <c r="CQ45" s="22" t="str">
        <f t="shared" si="3"/>
        <v/>
      </c>
      <c r="CR45" s="22" t="str">
        <f t="shared" si="4"/>
        <v/>
      </c>
      <c r="CS45" s="22" t="str">
        <f t="shared" si="5"/>
        <v/>
      </c>
    </row>
    <row r="46" spans="1:97" x14ac:dyDescent="0.3">
      <c r="A46" s="22" t="s">
        <v>153</v>
      </c>
      <c r="B46" s="22" t="s">
        <v>778</v>
      </c>
      <c r="D46" s="22" t="s">
        <v>137</v>
      </c>
      <c r="E46" t="s">
        <v>203</v>
      </c>
      <c r="F46" s="22">
        <v>120134</v>
      </c>
      <c r="G46" s="25" t="s">
        <v>174</v>
      </c>
      <c r="H46" s="142">
        <f>Tabel2[[#This Row],[pnt t/m 2021/22]]+Tabel2[[#This Row],[pnt 2022/2023]]</f>
        <v>607.51082251082244</v>
      </c>
      <c r="I46">
        <v>2012</v>
      </c>
      <c r="J46">
        <v>2022</v>
      </c>
      <c r="K46" s="24">
        <f>Tabel2[[#This Row],[ijkdatum]]-Tabel2[[#This Row],[Geboren]]</f>
        <v>10</v>
      </c>
      <c r="L46" s="26">
        <f>Tabel2[[#This Row],[TTL 1]]+Tabel2[[#This Row],[TTL 2]]+Tabel2[[#This Row],[TTL 3]]+Tabel2[[#This Row],[TTL 4]]+Tabel2[[#This Row],[TTL 5]]+Tabel2[[#This Row],[TTL 6]]+Tabel2[[#This Row],[TTL 7]]+Tabel2[[#This Row],[TTL 8]]+Tabel2[[#This Row],[TTL 9]]+Tabel2[[#This Row],[TTL 10]]</f>
        <v>0</v>
      </c>
      <c r="M46" s="141">
        <v>607.51082251082244</v>
      </c>
      <c r="O46">
        <v>1</v>
      </c>
      <c r="S46" s="23">
        <f>SUM(Tabel2[[#This Row],[V 1]]*10+Tabel2[[#This Row],[GT 1]])/Tabel2[[#This Row],[AW 1]]*10+Tabel2[[#This Row],[BONUS 1]]</f>
        <v>0</v>
      </c>
      <c r="U46">
        <v>1</v>
      </c>
      <c r="Y46" s="23">
        <f>SUM(Tabel2[[#This Row],[V 2]]*10+Tabel2[[#This Row],[GT 2]])/Tabel2[[#This Row],[AW 2]]*10+Tabel2[[#This Row],[BONUS 2]]</f>
        <v>0</v>
      </c>
      <c r="AA46">
        <v>1</v>
      </c>
      <c r="AE46" s="23">
        <f>SUM(Tabel2[[#This Row],[V 3]]*10+Tabel2[[#This Row],[GT 3]])/Tabel2[[#This Row],[AW 3]]*10+Tabel2[[#This Row],[BONUS 3]]</f>
        <v>0</v>
      </c>
      <c r="AG46">
        <v>1</v>
      </c>
      <c r="AK46" s="23">
        <f>SUM(Tabel2[[#This Row],[V 4]]*10+Tabel2[[#This Row],[GT 4]])/Tabel2[[#This Row],[AW 4]]*10+Tabel2[[#This Row],[BONUS 4]]</f>
        <v>0</v>
      </c>
      <c r="AM46">
        <v>1</v>
      </c>
      <c r="AQ46" s="23">
        <f>SUM(Tabel2[[#This Row],[V 5]]*10+Tabel2[[#This Row],[GT 5]])/Tabel2[[#This Row],[AW 5]]*10+Tabel2[[#This Row],[BONUS 5]]</f>
        <v>0</v>
      </c>
      <c r="AS46">
        <v>1</v>
      </c>
      <c r="AW46" s="23">
        <f>SUM(Tabel2[[#This Row],[V 6]]*10+Tabel2[[#This Row],[GT 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6" s="22">
        <v>500</v>
      </c>
      <c r="BX46" s="30">
        <f>Tabel2[[#This Row],[Diploma]]-Tabel2[[#This Row],[Uitgeschreven]]</f>
        <v>0</v>
      </c>
      <c r="BY46" s="2" t="str">
        <f>IF(BX46=0,"geen actie",CONCATENATE("diploma uitschrijven: ",BV46," punten"))</f>
        <v>geen actie</v>
      </c>
      <c r="CA46" s="150">
        <f>Tabel2[[#This Row],[pnt t/m 2021/22]]</f>
        <v>607.51082251082244</v>
      </c>
      <c r="CB46" s="150">
        <f>Tabel2[[#This Row],[pnt 2022/2023]]</f>
        <v>0</v>
      </c>
      <c r="CC46" s="150">
        <f t="shared" si="6"/>
        <v>607.51082251082244</v>
      </c>
      <c r="CD46" s="150">
        <f>IF(Tabel2[[#This Row],[LPR 1]]&gt;0,1,0)</f>
        <v>0</v>
      </c>
      <c r="CE46" s="150">
        <f>IF(Tabel2[[#This Row],[LPR 2]]&gt;0,1,0)</f>
        <v>0</v>
      </c>
      <c r="CF46" s="150">
        <f>IF(Tabel2[[#This Row],[LPR 3]]&gt;0,1,0)</f>
        <v>0</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0</v>
      </c>
      <c r="CO46" s="22" t="str">
        <f t="shared" si="1"/>
        <v/>
      </c>
      <c r="CP46" s="22" t="str">
        <f t="shared" si="2"/>
        <v/>
      </c>
      <c r="CQ46" s="22" t="str">
        <f t="shared" si="3"/>
        <v/>
      </c>
      <c r="CR46" s="22" t="str">
        <f t="shared" si="4"/>
        <v/>
      </c>
      <c r="CS46" s="22" t="str">
        <f t="shared" si="5"/>
        <v/>
      </c>
    </row>
    <row r="47" spans="1:97" x14ac:dyDescent="0.3">
      <c r="A47" s="22" t="s">
        <v>143</v>
      </c>
      <c r="B47" s="22" t="s">
        <v>779</v>
      </c>
      <c r="D47" s="22" t="s">
        <v>137</v>
      </c>
      <c r="E47" t="s">
        <v>204</v>
      </c>
      <c r="F47" s="22">
        <v>119767</v>
      </c>
      <c r="G47" s="25" t="s">
        <v>147</v>
      </c>
      <c r="H47" s="142">
        <f>Tabel2[[#This Row],[pnt t/m 2021/22]]+Tabel2[[#This Row],[pnt 2022/2023]]</f>
        <v>51.666666666666671</v>
      </c>
      <c r="I47">
        <v>2004</v>
      </c>
      <c r="J47">
        <v>2022</v>
      </c>
      <c r="K47" s="24">
        <f>Tabel2[[#This Row],[ijkdatum]]-Tabel2[[#This Row],[Geboren]]</f>
        <v>18</v>
      </c>
      <c r="L47" s="26">
        <f>Tabel2[[#This Row],[TTL 1]]+Tabel2[[#This Row],[TTL 2]]+Tabel2[[#This Row],[TTL 3]]+Tabel2[[#This Row],[TTL 4]]+Tabel2[[#This Row],[TTL 5]]+Tabel2[[#This Row],[TTL 6]]+Tabel2[[#This Row],[TTL 7]]+Tabel2[[#This Row],[TTL 8]]+Tabel2[[#This Row],[TTL 9]]+Tabel2[[#This Row],[TTL 10]]</f>
        <v>0</v>
      </c>
      <c r="M47" s="141">
        <v>51.666666666666671</v>
      </c>
      <c r="O47">
        <v>1</v>
      </c>
      <c r="S47" s="23">
        <f>SUM(Tabel2[[#This Row],[V 1]]*10+Tabel2[[#This Row],[GT 1]])/Tabel2[[#This Row],[AW 1]]*10+Tabel2[[#This Row],[BONUS 1]]</f>
        <v>0</v>
      </c>
      <c r="U47">
        <v>1</v>
      </c>
      <c r="Y47" s="23">
        <f>SUM(Tabel2[[#This Row],[V 2]]*10+Tabel2[[#This Row],[GT 2]])/Tabel2[[#This Row],[AW 2]]*10+Tabel2[[#This Row],[BONUS 2]]</f>
        <v>0</v>
      </c>
      <c r="AA47">
        <v>1</v>
      </c>
      <c r="AE47" s="23">
        <f>SUM(Tabel2[[#This Row],[V 3]]*10+Tabel2[[#This Row],[GT 3]])/Tabel2[[#This Row],[AW 3]]*10+Tabel2[[#This Row],[BONUS 3]]</f>
        <v>0</v>
      </c>
      <c r="AG47">
        <v>1</v>
      </c>
      <c r="AK47" s="23">
        <f>SUM(Tabel2[[#This Row],[V 4]]*10+Tabel2[[#This Row],[GT 4]])/Tabel2[[#This Row],[AW 4]]*10+Tabel2[[#This Row],[BONUS 4]]</f>
        <v>0</v>
      </c>
      <c r="AM47">
        <v>1</v>
      </c>
      <c r="AQ47" s="23">
        <f>SUM(Tabel2[[#This Row],[V 5]]*10+Tabel2[[#This Row],[GT 5]])/Tabel2[[#This Row],[AW 5]]*10+Tabel2[[#This Row],[BONUS 5]]</f>
        <v>0</v>
      </c>
      <c r="AS47">
        <v>1</v>
      </c>
      <c r="AW47" s="23">
        <f>SUM(Tabel2[[#This Row],[V 6]]*10+Tabel2[[#This Row],[GT 6]])/Tabel2[[#This Row],[AW 6]]*10+Tabel2[[#This Row],[BONUS 6]]</f>
        <v>0</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7" s="22">
        <v>0</v>
      </c>
      <c r="BX47" s="30">
        <f>Tabel2[[#This Row],[Diploma]]-Tabel2[[#This Row],[Uitgeschreven]]</f>
        <v>0</v>
      </c>
      <c r="BY47" s="2" t="str">
        <f>IF(BX47=0,"geen actie",CONCATENATE("diploma uitschrijven: ",BV47," punten"))</f>
        <v>geen actie</v>
      </c>
      <c r="CA47" s="150">
        <f>Tabel2[[#This Row],[pnt t/m 2021/22]]</f>
        <v>51.666666666666671</v>
      </c>
      <c r="CB47" s="150">
        <f>Tabel2[[#This Row],[pnt 2022/2023]]</f>
        <v>0</v>
      </c>
      <c r="CC47" s="150">
        <f t="shared" si="6"/>
        <v>51.666666666666671</v>
      </c>
      <c r="CD47" s="150">
        <f>IF(Tabel2[[#This Row],[LPR 1]]&gt;0,1,0)</f>
        <v>0</v>
      </c>
      <c r="CE47" s="150">
        <f>IF(Tabel2[[#This Row],[LPR 2]]&gt;0,1,0)</f>
        <v>0</v>
      </c>
      <c r="CF47" s="150">
        <f>IF(Tabel2[[#This Row],[LPR 3]]&gt;0,1,0)</f>
        <v>0</v>
      </c>
      <c r="CG47" s="150">
        <f>IF(Tabel2[[#This Row],[LPR 4]]&gt;0,1,0)</f>
        <v>0</v>
      </c>
      <c r="CH47" s="150">
        <f>IF(Tabel2[[#This Row],[LPR 5]]&gt;0,1,0)</f>
        <v>0</v>
      </c>
      <c r="CI47" s="150">
        <f>IF(Tabel2[[#This Row],[LPR 6]]&gt;0,1,0)</f>
        <v>0</v>
      </c>
      <c r="CJ47" s="150">
        <f>IF(Tabel2[[#This Row],[LPR 7]]&gt;0,1,0)</f>
        <v>0</v>
      </c>
      <c r="CK47" s="150">
        <f>IF(Tabel2[[#This Row],[LPR 8]]&gt;0,1,0)</f>
        <v>0</v>
      </c>
      <c r="CL47" s="150">
        <f>IF(Tabel2[[#This Row],[LPR 9]]&gt;0,1,0)</f>
        <v>0</v>
      </c>
      <c r="CM47" s="150">
        <f>IF(Tabel2[[#This Row],[LPR 10]]&gt;0,1,0)</f>
        <v>0</v>
      </c>
      <c r="CN47" s="150">
        <f>SUM(Tabel7[[#This Row],[sep]:[jun]])</f>
        <v>0</v>
      </c>
      <c r="CO47" s="22" t="str">
        <f t="shared" si="1"/>
        <v/>
      </c>
      <c r="CP47" s="22" t="str">
        <f t="shared" si="2"/>
        <v/>
      </c>
      <c r="CQ47" s="22" t="str">
        <f t="shared" si="3"/>
        <v/>
      </c>
      <c r="CR47" s="22" t="str">
        <f t="shared" si="4"/>
        <v/>
      </c>
      <c r="CS47" s="22" t="str">
        <f t="shared" si="5"/>
        <v/>
      </c>
    </row>
    <row r="48" spans="1:97" x14ac:dyDescent="0.3">
      <c r="A48" s="22" t="s">
        <v>143</v>
      </c>
      <c r="B48" s="22" t="s">
        <v>778</v>
      </c>
      <c r="D48" s="22" t="s">
        <v>783</v>
      </c>
      <c r="E48" t="s">
        <v>186</v>
      </c>
      <c r="F48" s="22">
        <v>119753</v>
      </c>
      <c r="G48" s="25" t="s">
        <v>147</v>
      </c>
      <c r="H48" s="23">
        <f>Tabel2[[#This Row],[pnt t/m 2021/22]]+Tabel2[[#This Row],[pnt 2022/2023]]</f>
        <v>576.68939393939399</v>
      </c>
      <c r="I48">
        <v>2009</v>
      </c>
      <c r="J48">
        <v>2022</v>
      </c>
      <c r="K48" s="24">
        <f>Tabel2[[#This Row],[ijkdatum]]-Tabel2[[#This Row],[Geboren]]</f>
        <v>13</v>
      </c>
      <c r="L48" s="26">
        <f>Tabel2[[#This Row],[TTL 1]]+Tabel2[[#This Row],[TTL 2]]+Tabel2[[#This Row],[TTL 3]]+Tabel2[[#This Row],[TTL 4]]+Tabel2[[#This Row],[TTL 5]]+Tabel2[[#This Row],[TTL 6]]+Tabel2[[#This Row],[TTL 7]]+Tabel2[[#This Row],[TTL 8]]+Tabel2[[#This Row],[TTL 9]]+Tabel2[[#This Row],[TTL 10]]</f>
        <v>185.75</v>
      </c>
      <c r="M48" s="153">
        <v>390.93939393939394</v>
      </c>
      <c r="N48">
        <v>6</v>
      </c>
      <c r="O48">
        <v>8</v>
      </c>
      <c r="P48">
        <v>6</v>
      </c>
      <c r="Q48">
        <v>31</v>
      </c>
      <c r="S48" s="153">
        <f>SUM(Tabel2[[#This Row],[V 1]]*10+Tabel2[[#This Row],[GT 1]])/Tabel2[[#This Row],[AW 1]]*10+Tabel2[[#This Row],[BONUS 1]]</f>
        <v>113.75</v>
      </c>
      <c r="T48">
        <v>5</v>
      </c>
      <c r="U48">
        <v>10</v>
      </c>
      <c r="V48">
        <v>4</v>
      </c>
      <c r="W48">
        <v>32</v>
      </c>
      <c r="Y48" s="153">
        <f>SUM(Tabel2[[#This Row],[V 2]]*10+Tabel2[[#This Row],[GT 2]])/Tabel2[[#This Row],[AW 2]]*10+Tabel2[[#This Row],[BONUS 2]]</f>
        <v>72</v>
      </c>
      <c r="AA48">
        <v>1</v>
      </c>
      <c r="AE48" s="153">
        <f>SUM(Tabel2[[#This Row],[V 3]]*10+Tabel2[[#This Row],[GT 3]])/Tabel2[[#This Row],[AW 3]]*10+Tabel2[[#This Row],[BONUS 3]]</f>
        <v>0</v>
      </c>
      <c r="AG48">
        <v>1</v>
      </c>
      <c r="AK48" s="153">
        <f>SUM(Tabel2[[#This Row],[V 4]]*10+Tabel2[[#This Row],[GT 4]])/Tabel2[[#This Row],[AW 4]]*10+Tabel2[[#This Row],[BONUS 4]]</f>
        <v>0</v>
      </c>
      <c r="AM48">
        <v>1</v>
      </c>
      <c r="AQ48" s="153">
        <f>SUM(Tabel2[[#This Row],[V 5]]*10+Tabel2[[#This Row],[GT 5]])/Tabel2[[#This Row],[AW 5]]*10+Tabel2[[#This Row],[BONUS 5]]</f>
        <v>0</v>
      </c>
      <c r="AS48">
        <v>1</v>
      </c>
      <c r="AW48" s="153">
        <f>SUM(Tabel2[[#This Row],[V 6]]*10+Tabel2[[#This Row],[GT 6]])/Tabel2[[#This Row],[AW 6]]*10+Tabel2[[#This Row],[BONUS 6]]</f>
        <v>0</v>
      </c>
      <c r="AY48">
        <v>1</v>
      </c>
      <c r="BC48" s="23">
        <f>SUM(Tabel2[[#This Row],[V 7]]*10+Tabel2[[#This Row],[GT 7]])/Tabel2[[#This Row],[AW 7]]*10+Tabel2[[#This Row],[BONUS 7]]</f>
        <v>0</v>
      </c>
      <c r="BE48">
        <v>1</v>
      </c>
      <c r="BI48" s="23">
        <f>SUM(Tabel2[[#This Row],[V 8]]*10+Tabel2[[#This Row],[GT 8]])/Tabel2[[#This Row],[AW 8]]*10+Tabel2[[#This Row],[BONUS 8]]</f>
        <v>0</v>
      </c>
      <c r="BK48">
        <v>1</v>
      </c>
      <c r="BO48" s="153">
        <f>SUM(Tabel2[[#This Row],[V 9]]*10+Tabel2[[#This Row],[GT 9]])/Tabel2[[#This Row],[AW 9]]*10+Tabel2[[#This Row],[BONUS 9]]</f>
        <v>0</v>
      </c>
      <c r="BQ48">
        <v>1</v>
      </c>
      <c r="BU48" s="23">
        <f>SUM(Tabel2[[#This Row],[V 10]]*10+Tabel2[[#This Row],[GT 10]])/Tabel2[[#This Row],[AW 10]]*10+Tabel2[[#This Row],[BONUS 10]]</f>
        <v>0</v>
      </c>
      <c r="BV4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8" s="22">
        <v>500</v>
      </c>
      <c r="BX48" s="22">
        <f>Tabel2[[#This Row],[Diploma]]-Tabel2[[#This Row],[Uitgeschreven]]</f>
        <v>0</v>
      </c>
      <c r="BY48" s="155" t="str">
        <f>IF(BX48=0,"geen actie",CONCATENATE("diploma uitschrijven: ",BV48," punten"))</f>
        <v>geen actie</v>
      </c>
      <c r="CA48" s="150">
        <f>Tabel2[[#This Row],[pnt t/m 2021/22]]</f>
        <v>390.93939393939394</v>
      </c>
      <c r="CB48" s="150">
        <f>Tabel2[[#This Row],[pnt 2022/2023]]</f>
        <v>185.75</v>
      </c>
      <c r="CC48" s="150">
        <f t="shared" si="6"/>
        <v>576.68939393939399</v>
      </c>
      <c r="CD48" s="150">
        <f>IF(Tabel2[[#This Row],[LPR 1]]&gt;0,1,0)</f>
        <v>1</v>
      </c>
      <c r="CE48" s="150">
        <f>IF(Tabel2[[#This Row],[LPR 2]]&gt;0,1,0)</f>
        <v>1</v>
      </c>
      <c r="CF48" s="150">
        <f>IF(Tabel2[[#This Row],[LPR 3]]&gt;0,1,0)</f>
        <v>0</v>
      </c>
      <c r="CG48" s="150">
        <f>IF(Tabel2[[#This Row],[LPR 4]]&gt;0,1,0)</f>
        <v>0</v>
      </c>
      <c r="CH48" s="150">
        <f>IF(Tabel2[[#This Row],[LPR 5]]&gt;0,1,0)</f>
        <v>0</v>
      </c>
      <c r="CI48" s="150">
        <f>IF(Tabel2[[#This Row],[LPR 6]]&gt;0,1,0)</f>
        <v>0</v>
      </c>
      <c r="CJ48" s="150">
        <f>IF(Tabel2[[#This Row],[LPR 7]]&gt;0,1,0)</f>
        <v>0</v>
      </c>
      <c r="CK48" s="150">
        <f>IF(Tabel2[[#This Row],[LPR 8]]&gt;0,1,0)</f>
        <v>0</v>
      </c>
      <c r="CL48" s="150">
        <f>IF(Tabel2[[#This Row],[LPR 9]]&gt;0,1,0)</f>
        <v>0</v>
      </c>
      <c r="CM48" s="150">
        <f>IF(Tabel2[[#This Row],[LPR 10]]&gt;0,1,0)</f>
        <v>0</v>
      </c>
      <c r="CN48" s="150">
        <f>SUM(Tabel7[[#This Row],[sep]:[jun]])</f>
        <v>2</v>
      </c>
      <c r="CO48" s="22" t="str">
        <f t="shared" si="1"/>
        <v/>
      </c>
      <c r="CP48" s="22" t="str">
        <f t="shared" si="2"/>
        <v/>
      </c>
      <c r="CQ48" s="22" t="str">
        <f t="shared" si="3"/>
        <v/>
      </c>
      <c r="CR48" s="22" t="str">
        <f t="shared" si="4"/>
        <v/>
      </c>
      <c r="CS48" s="22" t="str">
        <f t="shared" si="5"/>
        <v/>
      </c>
    </row>
    <row r="49" spans="1:97" x14ac:dyDescent="0.3">
      <c r="A49" s="22" t="s">
        <v>143</v>
      </c>
      <c r="B49" s="22" t="s">
        <v>778</v>
      </c>
      <c r="D49" s="22" t="s">
        <v>137</v>
      </c>
      <c r="E49" t="s">
        <v>206</v>
      </c>
      <c r="F49" s="22">
        <v>117564</v>
      </c>
      <c r="G49" s="25" t="s">
        <v>207</v>
      </c>
      <c r="H49" s="142">
        <f>Tabel2[[#This Row],[pnt t/m 2021/22]]+Tabel2[[#This Row],[pnt 2022/2023]]</f>
        <v>260</v>
      </c>
      <c r="I49">
        <v>2006</v>
      </c>
      <c r="J49">
        <v>2022</v>
      </c>
      <c r="K49" s="24">
        <f>Tabel2[[#This Row],[ijkdatum]]-Tabel2[[#This Row],[Geboren]]</f>
        <v>16</v>
      </c>
      <c r="L49" s="26">
        <f>Tabel2[[#This Row],[TTL 1]]+Tabel2[[#This Row],[TTL 2]]+Tabel2[[#This Row],[TTL 3]]+Tabel2[[#This Row],[TTL 4]]+Tabel2[[#This Row],[TTL 5]]+Tabel2[[#This Row],[TTL 6]]+Tabel2[[#This Row],[TTL 7]]+Tabel2[[#This Row],[TTL 8]]+Tabel2[[#This Row],[TTL 9]]+Tabel2[[#This Row],[TTL 10]]</f>
        <v>0</v>
      </c>
      <c r="M49" s="141">
        <v>260</v>
      </c>
      <c r="O49">
        <v>1</v>
      </c>
      <c r="S49" s="23">
        <f>SUM(Tabel2[[#This Row],[V 1]]*10+Tabel2[[#This Row],[GT 1]])/Tabel2[[#This Row],[AW 1]]*10+Tabel2[[#This Row],[BONUS 1]]</f>
        <v>0</v>
      </c>
      <c r="U49">
        <v>1</v>
      </c>
      <c r="Y49" s="23">
        <f>SUM(Tabel2[[#This Row],[V 2]]*10+Tabel2[[#This Row],[GT 2]])/Tabel2[[#This Row],[AW 2]]*10+Tabel2[[#This Row],[BONUS 2]]</f>
        <v>0</v>
      </c>
      <c r="AA49">
        <v>1</v>
      </c>
      <c r="AE49" s="23">
        <f>SUM(Tabel2[[#This Row],[V 3]]*10+Tabel2[[#This Row],[GT 3]])/Tabel2[[#This Row],[AW 3]]*10+Tabel2[[#This Row],[BONUS 3]]</f>
        <v>0</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 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9" s="22">
        <v>250</v>
      </c>
      <c r="BX49" s="30">
        <f>Tabel2[[#This Row],[Diploma]]-Tabel2[[#This Row],[Uitgeschreven]]</f>
        <v>0</v>
      </c>
      <c r="BY49" s="2" t="str">
        <f>IF(BX49=0,"geen actie",CONCATENATE("diploma uitschrijven: ",BV49," punten"))</f>
        <v>geen actie</v>
      </c>
      <c r="CA49" s="150">
        <f>Tabel2[[#This Row],[pnt t/m 2021/22]]</f>
        <v>260</v>
      </c>
      <c r="CB49" s="150">
        <f>Tabel2[[#This Row],[pnt 2022/2023]]</f>
        <v>0</v>
      </c>
      <c r="CC49" s="150">
        <f t="shared" si="6"/>
        <v>260</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1"/>
        <v/>
      </c>
      <c r="CP49" s="22" t="str">
        <f t="shared" si="2"/>
        <v/>
      </c>
      <c r="CQ49" s="22" t="str">
        <f t="shared" si="3"/>
        <v/>
      </c>
      <c r="CR49" s="22" t="str">
        <f t="shared" si="4"/>
        <v/>
      </c>
      <c r="CS49" s="22" t="str">
        <f t="shared" si="5"/>
        <v/>
      </c>
    </row>
    <row r="50" spans="1:97" x14ac:dyDescent="0.3">
      <c r="A50" s="22" t="s">
        <v>145</v>
      </c>
      <c r="B50" s="22" t="s">
        <v>779</v>
      </c>
      <c r="D50" s="22" t="s">
        <v>137</v>
      </c>
      <c r="E50" t="s">
        <v>208</v>
      </c>
      <c r="F50" s="22">
        <v>116662</v>
      </c>
      <c r="G50" s="25" t="s">
        <v>167</v>
      </c>
      <c r="H50" s="23">
        <f>Tabel2[[#This Row],[pnt t/m 2021/22]]+Tabel2[[#This Row],[pnt 2022/2023]]</f>
        <v>185.14285714285714</v>
      </c>
      <c r="I50">
        <v>2005</v>
      </c>
      <c r="J50">
        <v>2022</v>
      </c>
      <c r="K50" s="24">
        <f>Tabel2[[#This Row],[ijkdatum]]-Tabel2[[#This Row],[Geboren]]</f>
        <v>17</v>
      </c>
      <c r="L50" s="26">
        <f>Tabel2[[#This Row],[TTL 1]]+Tabel2[[#This Row],[TTL 2]]+Tabel2[[#This Row],[TTL 3]]+Tabel2[[#This Row],[TTL 4]]+Tabel2[[#This Row],[TTL 5]]+Tabel2[[#This Row],[TTL 6]]+Tabel2[[#This Row],[TTL 7]]+Tabel2[[#This Row],[TTL 8]]+Tabel2[[#This Row],[TTL 9]]+Tabel2[[#This Row],[TTL 10]]</f>
        <v>0</v>
      </c>
      <c r="M50" s="153">
        <v>185.14285714285714</v>
      </c>
      <c r="O50">
        <v>1</v>
      </c>
      <c r="S50" s="153">
        <f>SUM(Tabel2[[#This Row],[V 1]]*10+Tabel2[[#This Row],[GT 1]])/Tabel2[[#This Row],[AW 1]]*10+Tabel2[[#This Row],[BONUS 1]]</f>
        <v>0</v>
      </c>
      <c r="U50">
        <v>1</v>
      </c>
      <c r="Y50" s="153">
        <f>SUM(Tabel2[[#This Row],[V 2]]*10+Tabel2[[#This Row],[GT 2]])/Tabel2[[#This Row],[AW 2]]*10+Tabel2[[#This Row],[BONUS 2]]</f>
        <v>0</v>
      </c>
      <c r="AA50">
        <v>1</v>
      </c>
      <c r="AE50" s="153">
        <f>SUM(Tabel2[[#This Row],[V 3]]*10+Tabel2[[#This Row],[GT 3]])/Tabel2[[#This Row],[AW 3]]*10+Tabel2[[#This Row],[BONUS 3]]</f>
        <v>0</v>
      </c>
      <c r="AG50">
        <v>1</v>
      </c>
      <c r="AK50" s="153">
        <f>SUM(Tabel2[[#This Row],[V 4]]*10+Tabel2[[#This Row],[GT 4]])/Tabel2[[#This Row],[AW 4]]*10+Tabel2[[#This Row],[BONUS 4]]</f>
        <v>0</v>
      </c>
      <c r="AM50">
        <v>1</v>
      </c>
      <c r="AQ50" s="153">
        <f>SUM(Tabel2[[#This Row],[V 5]]*10+Tabel2[[#This Row],[GT 5]])/Tabel2[[#This Row],[AW 5]]*10+Tabel2[[#This Row],[BONUS 5]]</f>
        <v>0</v>
      </c>
      <c r="AS50">
        <v>1</v>
      </c>
      <c r="AW50" s="153">
        <f>SUM(Tabel2[[#This Row],[V 6]]*10+Tabel2[[#This Row],[GT 6]])/Tabel2[[#This Row],[AW 6]]*10+Tabel2[[#This Row],[BONUS 6]]</f>
        <v>0</v>
      </c>
      <c r="AY50">
        <v>1</v>
      </c>
      <c r="BC50" s="23">
        <f>SUM(Tabel2[[#This Row],[V 7]]*10+Tabel2[[#This Row],[GT 7]])/Tabel2[[#This Row],[AW 7]]*10+Tabel2[[#This Row],[BONUS 7]]</f>
        <v>0</v>
      </c>
      <c r="BE50">
        <v>1</v>
      </c>
      <c r="BI50" s="153">
        <f>SUM(Tabel2[[#This Row],[V 8]]*10+Tabel2[[#This Row],[GT 8]])/Tabel2[[#This Row],[AW 8]]*10+Tabel2[[#This Row],[BONUS 8]]</f>
        <v>0</v>
      </c>
      <c r="BK50">
        <v>1</v>
      </c>
      <c r="BO50" s="153">
        <f>SUM(Tabel2[[#This Row],[V 9]]*10+Tabel2[[#This Row],[GT 9]])/Tabel2[[#This Row],[AW 9]]*10+Tabel2[[#This Row],[BONUS 9]]</f>
        <v>0</v>
      </c>
      <c r="BQ50">
        <v>1</v>
      </c>
      <c r="BU50" s="23">
        <f>SUM(Tabel2[[#This Row],[V 10]]*10+Tabel2[[#This Row],[GT 10]])/Tabel2[[#This Row],[AW 10]]*10+Tabel2[[#This Row],[BONUS 10]]</f>
        <v>0</v>
      </c>
      <c r="BV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0" s="22">
        <v>0</v>
      </c>
      <c r="BX50" s="22">
        <f>Tabel2[[#This Row],[Diploma]]-Tabel2[[#This Row],[Uitgeschreven]]</f>
        <v>0</v>
      </c>
      <c r="BY50" s="155" t="str">
        <f>IF(BX50=0,"geen actie",CONCATENATE("diploma uitschrijven: ",BV50," punten"))</f>
        <v>geen actie</v>
      </c>
      <c r="CA50" s="150">
        <f>Tabel2[[#This Row],[pnt t/m 2021/22]]</f>
        <v>185.14285714285714</v>
      </c>
      <c r="CB50" s="150">
        <f>Tabel2[[#This Row],[pnt 2022/2023]]</f>
        <v>0</v>
      </c>
      <c r="CC50" s="150">
        <f t="shared" si="6"/>
        <v>185.14285714285714</v>
      </c>
      <c r="CD50" s="150">
        <f>IF(Tabel2[[#This Row],[LPR 1]]&gt;0,1,0)</f>
        <v>0</v>
      </c>
      <c r="CE50" s="150">
        <f>IF(Tabel2[[#This Row],[LPR 2]]&gt;0,1,0)</f>
        <v>0</v>
      </c>
      <c r="CF50" s="150">
        <f>IF(Tabel2[[#This Row],[LPR 3]]&gt;0,1,0)</f>
        <v>0</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0</v>
      </c>
      <c r="CO50" s="22" t="str">
        <f t="shared" si="1"/>
        <v/>
      </c>
      <c r="CP50" s="22" t="str">
        <f t="shared" si="2"/>
        <v/>
      </c>
      <c r="CQ50" s="22" t="str">
        <f t="shared" si="3"/>
        <v/>
      </c>
      <c r="CR50" s="22" t="str">
        <f t="shared" si="4"/>
        <v/>
      </c>
      <c r="CS50" s="22" t="str">
        <f t="shared" si="5"/>
        <v/>
      </c>
    </row>
    <row r="51" spans="1:97" x14ac:dyDescent="0.3">
      <c r="A51" s="22" t="s">
        <v>135</v>
      </c>
      <c r="B51" s="22" t="s">
        <v>778</v>
      </c>
      <c r="D51" s="22" t="s">
        <v>137</v>
      </c>
      <c r="E51" t="s">
        <v>209</v>
      </c>
      <c r="F51" s="22">
        <v>119495</v>
      </c>
      <c r="G51" s="25" t="s">
        <v>210</v>
      </c>
      <c r="H51" s="142">
        <f>Tabel2[[#This Row],[pnt t/m 2021/22]]+Tabel2[[#This Row],[pnt 2022/2023]]</f>
        <v>520</v>
      </c>
      <c r="I51">
        <v>2010</v>
      </c>
      <c r="J51">
        <v>2022</v>
      </c>
      <c r="K51" s="24">
        <f>Tabel2[[#This Row],[ijkdatum]]-Tabel2[[#This Row],[Geboren]]</f>
        <v>12</v>
      </c>
      <c r="L51" s="26">
        <f>Tabel2[[#This Row],[TTL 1]]+Tabel2[[#This Row],[TTL 2]]+Tabel2[[#This Row],[TTL 3]]+Tabel2[[#This Row],[TTL 4]]+Tabel2[[#This Row],[TTL 5]]+Tabel2[[#This Row],[TTL 6]]+Tabel2[[#This Row],[TTL 7]]+Tabel2[[#This Row],[TTL 8]]+Tabel2[[#This Row],[TTL 9]]+Tabel2[[#This Row],[TTL 10]]</f>
        <v>0</v>
      </c>
      <c r="M51" s="141">
        <v>520</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 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1" s="22">
        <v>500</v>
      </c>
      <c r="BX51" s="30">
        <f>Tabel2[[#This Row],[Diploma]]-Tabel2[[#This Row],[Uitgeschreven]]</f>
        <v>0</v>
      </c>
      <c r="BY51" s="2" t="str">
        <f>IF(BX51=0,"geen actie",CONCATENATE("diploma uitschrijven: ",BV51," punten"))</f>
        <v>geen actie</v>
      </c>
      <c r="CA51" s="150">
        <f>Tabel2[[#This Row],[pnt t/m 2021/22]]</f>
        <v>520</v>
      </c>
      <c r="CB51" s="150">
        <f>Tabel2[[#This Row],[pnt 2022/2023]]</f>
        <v>0</v>
      </c>
      <c r="CC51" s="150">
        <f t="shared" si="6"/>
        <v>520</v>
      </c>
      <c r="CD51" s="150">
        <f>IF(Tabel2[[#This Row],[LPR 1]]&gt;0,1,0)</f>
        <v>0</v>
      </c>
      <c r="CE51" s="150">
        <f>IF(Tabel2[[#This Row],[LPR 2]]&gt;0,1,0)</f>
        <v>0</v>
      </c>
      <c r="CF51" s="150">
        <f>IF(Tabel2[[#This Row],[LPR 3]]&gt;0,1,0)</f>
        <v>0</v>
      </c>
      <c r="CG51" s="150">
        <f>IF(Tabel2[[#This Row],[LPR 4]]&gt;0,1,0)</f>
        <v>0</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0</v>
      </c>
      <c r="CO51" s="22" t="str">
        <f t="shared" si="1"/>
        <v/>
      </c>
      <c r="CP51" s="22" t="str">
        <f t="shared" si="2"/>
        <v/>
      </c>
      <c r="CQ51" s="22" t="str">
        <f t="shared" si="3"/>
        <v/>
      </c>
      <c r="CR51" s="22" t="str">
        <f t="shared" si="4"/>
        <v/>
      </c>
      <c r="CS51" s="22" t="str">
        <f t="shared" si="5"/>
        <v/>
      </c>
    </row>
    <row r="52" spans="1:97" x14ac:dyDescent="0.3">
      <c r="A52" s="22" t="s">
        <v>145</v>
      </c>
      <c r="B52" s="22" t="s">
        <v>778</v>
      </c>
      <c r="D52" s="22" t="s">
        <v>137</v>
      </c>
      <c r="E52" t="s">
        <v>211</v>
      </c>
      <c r="F52" s="22">
        <v>117970</v>
      </c>
      <c r="G52" s="25" t="s">
        <v>147</v>
      </c>
      <c r="H52" s="23">
        <f>Tabel2[[#This Row],[pnt t/m 2021/22]]+Tabel2[[#This Row],[pnt 2022/2023]]</f>
        <v>77.5</v>
      </c>
      <c r="I52">
        <v>2006</v>
      </c>
      <c r="J52">
        <v>2022</v>
      </c>
      <c r="K52" s="24">
        <f>Tabel2[[#This Row],[ijkdatum]]-Tabel2[[#This Row],[Geboren]]</f>
        <v>16</v>
      </c>
      <c r="L52" s="26">
        <f>Tabel2[[#This Row],[TTL 1]]+Tabel2[[#This Row],[TTL 2]]+Tabel2[[#This Row],[TTL 3]]+Tabel2[[#This Row],[TTL 4]]+Tabel2[[#This Row],[TTL 5]]+Tabel2[[#This Row],[TTL 6]]+Tabel2[[#This Row],[TTL 7]]+Tabel2[[#This Row],[TTL 8]]+Tabel2[[#This Row],[TTL 9]]+Tabel2[[#This Row],[TTL 10]]</f>
        <v>0</v>
      </c>
      <c r="M52" s="153">
        <v>77.5</v>
      </c>
      <c r="O52">
        <v>1</v>
      </c>
      <c r="S52" s="153">
        <f>SUM(Tabel2[[#This Row],[V 1]]*10+Tabel2[[#This Row],[GT 1]])/Tabel2[[#This Row],[AW 1]]*10+Tabel2[[#This Row],[BONUS 1]]</f>
        <v>0</v>
      </c>
      <c r="U52">
        <v>1</v>
      </c>
      <c r="Y52" s="153">
        <f>SUM(Tabel2[[#This Row],[V 2]]*10+Tabel2[[#This Row],[GT 2]])/Tabel2[[#This Row],[AW 2]]*10+Tabel2[[#This Row],[BONUS 2]]</f>
        <v>0</v>
      </c>
      <c r="AA52">
        <v>1</v>
      </c>
      <c r="AE52" s="153">
        <f>SUM(Tabel2[[#This Row],[V 3]]*10+Tabel2[[#This Row],[GT 3]])/Tabel2[[#This Row],[AW 3]]*10+Tabel2[[#This Row],[BONUS 3]]</f>
        <v>0</v>
      </c>
      <c r="AG52">
        <v>1</v>
      </c>
      <c r="AK52" s="153">
        <f>SUM(Tabel2[[#This Row],[V 4]]*10+Tabel2[[#This Row],[GT 4]])/Tabel2[[#This Row],[AW 4]]*10+Tabel2[[#This Row],[BONUS 4]]</f>
        <v>0</v>
      </c>
      <c r="AM52">
        <v>1</v>
      </c>
      <c r="AQ52" s="153">
        <f>SUM(Tabel2[[#This Row],[V 5]]*10+Tabel2[[#This Row],[GT 5]])/Tabel2[[#This Row],[AW 5]]*10+Tabel2[[#This Row],[BONUS 5]]</f>
        <v>0</v>
      </c>
      <c r="AS52">
        <v>1</v>
      </c>
      <c r="AW52" s="153">
        <f>SUM(Tabel2[[#This Row],[V 6]]*10+Tabel2[[#This Row],[GT 6]])/Tabel2[[#This Row],[AW 6]]*10+Tabel2[[#This Row],[BONUS 6]]</f>
        <v>0</v>
      </c>
      <c r="AY52">
        <v>1</v>
      </c>
      <c r="BC52" s="153">
        <f>SUM(Tabel2[[#This Row],[V 7]]*10+Tabel2[[#This Row],[GT 7]])/Tabel2[[#This Row],[AW 7]]*10+Tabel2[[#This Row],[BONUS 7]]</f>
        <v>0</v>
      </c>
      <c r="BE52">
        <v>1</v>
      </c>
      <c r="BI52" s="153">
        <f>SUM(Tabel2[[#This Row],[V 8]]*10+Tabel2[[#This Row],[GT 8]])/Tabel2[[#This Row],[AW 8]]*10+Tabel2[[#This Row],[BONUS 8]]</f>
        <v>0</v>
      </c>
      <c r="BK52">
        <v>1</v>
      </c>
      <c r="BO52" s="153">
        <f>SUM(Tabel2[[#This Row],[V 9]]*10+Tabel2[[#This Row],[GT 9]])/Tabel2[[#This Row],[AW 9]]*10+Tabel2[[#This Row],[BONUS 9]]</f>
        <v>0</v>
      </c>
      <c r="BQ52">
        <v>1</v>
      </c>
      <c r="BU52" s="23">
        <f>SUM(Tabel2[[#This Row],[V 10]]*10+Tabel2[[#This Row],[GT 10]])/Tabel2[[#This Row],[AW 10]]*10+Tabel2[[#This Row],[BONUS 10]]</f>
        <v>0</v>
      </c>
      <c r="BV5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2" s="22">
        <v>0</v>
      </c>
      <c r="BX52" s="22">
        <f>Tabel2[[#This Row],[Diploma]]-Tabel2[[#This Row],[Uitgeschreven]]</f>
        <v>0</v>
      </c>
      <c r="BY52" s="155" t="str">
        <f>IF(BX52=0,"geen actie",CONCATENATE("diploma uitschrijven: ",BV52," punten"))</f>
        <v>geen actie</v>
      </c>
      <c r="CA52" s="150">
        <f>Tabel2[[#This Row],[pnt t/m 2021/22]]</f>
        <v>77.5</v>
      </c>
      <c r="CB52" s="150">
        <f>Tabel2[[#This Row],[pnt 2022/2023]]</f>
        <v>0</v>
      </c>
      <c r="CC52" s="150">
        <f t="shared" si="6"/>
        <v>77.5</v>
      </c>
      <c r="CD52" s="150">
        <f>IF(Tabel2[[#This Row],[LPR 1]]&gt;0,1,0)</f>
        <v>0</v>
      </c>
      <c r="CE52" s="150">
        <f>IF(Tabel2[[#This Row],[LPR 2]]&gt;0,1,0)</f>
        <v>0</v>
      </c>
      <c r="CF52" s="150">
        <f>IF(Tabel2[[#This Row],[LPR 3]]&gt;0,1,0)</f>
        <v>0</v>
      </c>
      <c r="CG52" s="150">
        <f>IF(Tabel2[[#This Row],[LPR 4]]&gt;0,1,0)</f>
        <v>0</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0</v>
      </c>
      <c r="CO52" s="22" t="str">
        <f t="shared" si="1"/>
        <v/>
      </c>
      <c r="CP52" s="22" t="str">
        <f t="shared" si="2"/>
        <v/>
      </c>
      <c r="CQ52" s="22" t="str">
        <f t="shared" si="3"/>
        <v/>
      </c>
      <c r="CR52" s="22" t="str">
        <f t="shared" si="4"/>
        <v/>
      </c>
      <c r="CS52" s="22" t="str">
        <f t="shared" si="5"/>
        <v/>
      </c>
    </row>
    <row r="53" spans="1:97" x14ac:dyDescent="0.3">
      <c r="A53" s="22" t="s">
        <v>145</v>
      </c>
      <c r="B53" s="22" t="s">
        <v>778</v>
      </c>
      <c r="D53" s="22" t="s">
        <v>137</v>
      </c>
      <c r="E53" t="s">
        <v>212</v>
      </c>
      <c r="F53" s="22">
        <v>119173</v>
      </c>
      <c r="G53" s="25" t="s">
        <v>149</v>
      </c>
      <c r="H53" s="142">
        <f>Tabel2[[#This Row],[pnt t/m 2021/22]]+Tabel2[[#This Row],[pnt 2022/2023]]</f>
        <v>853.59523809523796</v>
      </c>
      <c r="I53">
        <v>2011</v>
      </c>
      <c r="J53">
        <v>2022</v>
      </c>
      <c r="K53" s="24">
        <f>Tabel2[[#This Row],[ijkdatum]]-Tabel2[[#This Row],[Geboren]]</f>
        <v>11</v>
      </c>
      <c r="L53" s="26">
        <f>Tabel2[[#This Row],[TTL 1]]+Tabel2[[#This Row],[TTL 2]]+Tabel2[[#This Row],[TTL 3]]+Tabel2[[#This Row],[TTL 4]]+Tabel2[[#This Row],[TTL 5]]+Tabel2[[#This Row],[TTL 6]]+Tabel2[[#This Row],[TTL 7]]+Tabel2[[#This Row],[TTL 8]]+Tabel2[[#This Row],[TTL 9]]+Tabel2[[#This Row],[TTL 10]]</f>
        <v>0</v>
      </c>
      <c r="M53" s="141">
        <v>853.59523809523796</v>
      </c>
      <c r="O53">
        <v>1</v>
      </c>
      <c r="S53" s="23">
        <f>SUM(Tabel2[[#This Row],[V 1]]*10+Tabel2[[#This Row],[GT 1]])/Tabel2[[#This Row],[AW 1]]*10+Tabel2[[#This Row],[BONUS 1]]</f>
        <v>0</v>
      </c>
      <c r="U53">
        <v>1</v>
      </c>
      <c r="Y53" s="153">
        <f>SUM(Tabel2[[#This Row],[V 2]]*10+Tabel2[[#This Row],[GT 2]])/Tabel2[[#This Row],[AW 2]]*10+Tabel2[[#This Row],[BONUS 2]]</f>
        <v>0</v>
      </c>
      <c r="AA53">
        <v>1</v>
      </c>
      <c r="AE53" s="23">
        <f>SUM(Tabel2[[#This Row],[V 3]]*10+Tabel2[[#This Row],[GT 3]])/Tabel2[[#This Row],[AW 3]]*10+Tabel2[[#This Row],[BONUS 3]]</f>
        <v>0</v>
      </c>
      <c r="AG53">
        <v>1</v>
      </c>
      <c r="AK53" s="23">
        <f>SUM(Tabel2[[#This Row],[V 4]]*10+Tabel2[[#This Row],[GT 4]])/Tabel2[[#This Row],[AW 4]]*10+Tabel2[[#This Row],[BONUS 4]]</f>
        <v>0</v>
      </c>
      <c r="AM53">
        <v>1</v>
      </c>
      <c r="AQ53" s="23">
        <f>SUM(Tabel2[[#This Row],[V 5]]*10+Tabel2[[#This Row],[GT 5]])/Tabel2[[#This Row],[AW 5]]*10+Tabel2[[#This Row],[BONUS 5]]</f>
        <v>0</v>
      </c>
      <c r="AS53">
        <v>1</v>
      </c>
      <c r="AW53" s="23">
        <f>SUM(Tabel2[[#This Row],[V 6]]*10+Tabel2[[#This Row],[GT 6]])/Tabel2[[#This Row],[AW 6]]*10+Tabel2[[#This Row],[BONUS 6]]</f>
        <v>0</v>
      </c>
      <c r="AY53">
        <v>1</v>
      </c>
      <c r="BC53" s="23">
        <f>SUM(Tabel2[[#This Row],[V 7]]*10+Tabel2[[#This Row],[GT 7]])/Tabel2[[#This Row],[AW 7]]*10+Tabel2[[#This Row],[BONUS 7]]</f>
        <v>0</v>
      </c>
      <c r="BE53">
        <v>1</v>
      </c>
      <c r="BI53" s="23">
        <f>SUM(Tabel2[[#This Row],[V 8]]*10+Tabel2[[#This Row],[GT 8]])/Tabel2[[#This Row],[AW 8]]*10+Tabel2[[#This Row],[BONUS 8]]</f>
        <v>0</v>
      </c>
      <c r="BK53">
        <v>1</v>
      </c>
      <c r="BO53" s="2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53" s="22">
        <v>750</v>
      </c>
      <c r="BX53" s="30">
        <f>Tabel2[[#This Row],[Diploma]]-Tabel2[[#This Row],[Uitgeschreven]]</f>
        <v>0</v>
      </c>
      <c r="BY53" s="2" t="str">
        <f>IF(BX53=0,"geen actie",CONCATENATE("diploma uitschrijven: ",BV53," punten"))</f>
        <v>geen actie</v>
      </c>
      <c r="CA53" s="150">
        <f>Tabel2[[#This Row],[pnt t/m 2021/22]]</f>
        <v>853.59523809523796</v>
      </c>
      <c r="CB53" s="150">
        <f>Tabel2[[#This Row],[pnt 2022/2023]]</f>
        <v>0</v>
      </c>
      <c r="CC53" s="150">
        <f t="shared" si="6"/>
        <v>853.59523809523796</v>
      </c>
      <c r="CD53" s="150">
        <f>IF(Tabel2[[#This Row],[LPR 1]]&gt;0,1,0)</f>
        <v>0</v>
      </c>
      <c r="CE53" s="150">
        <f>IF(Tabel2[[#This Row],[LPR 2]]&gt;0,1,0)</f>
        <v>0</v>
      </c>
      <c r="CF53" s="150">
        <f>IF(Tabel2[[#This Row],[LPR 3]]&gt;0,1,0)</f>
        <v>0</v>
      </c>
      <c r="CG53" s="150">
        <f>IF(Tabel2[[#This Row],[LPR 4]]&gt;0,1,0)</f>
        <v>0</v>
      </c>
      <c r="CH53" s="150">
        <f>IF(Tabel2[[#This Row],[LPR 5]]&gt;0,1,0)</f>
        <v>0</v>
      </c>
      <c r="CI53" s="150">
        <f>IF(Tabel2[[#This Row],[LPR 6]]&gt;0,1,0)</f>
        <v>0</v>
      </c>
      <c r="CJ53" s="150">
        <f>IF(Tabel2[[#This Row],[LPR 7]]&gt;0,1,0)</f>
        <v>0</v>
      </c>
      <c r="CK53" s="150">
        <f>IF(Tabel2[[#This Row],[LPR 8]]&gt;0,1,0)</f>
        <v>0</v>
      </c>
      <c r="CL53" s="150">
        <f>IF(Tabel2[[#This Row],[LPR 9]]&gt;0,1,0)</f>
        <v>0</v>
      </c>
      <c r="CM53" s="150">
        <f>IF(Tabel2[[#This Row],[LPR 10]]&gt;0,1,0)</f>
        <v>0</v>
      </c>
      <c r="CN53" s="150">
        <f>SUM(Tabel7[[#This Row],[sep]:[jun]])</f>
        <v>0</v>
      </c>
      <c r="CO53" s="22" t="str">
        <f t="shared" si="1"/>
        <v/>
      </c>
      <c r="CP53" s="22" t="str">
        <f t="shared" si="2"/>
        <v/>
      </c>
      <c r="CQ53" s="22" t="str">
        <f t="shared" si="3"/>
        <v/>
      </c>
      <c r="CR53" s="22" t="str">
        <f t="shared" si="4"/>
        <v/>
      </c>
      <c r="CS53" s="22" t="str">
        <f t="shared" si="5"/>
        <v/>
      </c>
    </row>
    <row r="54" spans="1:97" x14ac:dyDescent="0.3">
      <c r="A54" s="22" t="s">
        <v>169</v>
      </c>
      <c r="B54" s="22" t="s">
        <v>778</v>
      </c>
      <c r="D54" s="22" t="s">
        <v>137</v>
      </c>
      <c r="E54" t="s">
        <v>213</v>
      </c>
      <c r="F54" s="22">
        <v>119672</v>
      </c>
      <c r="G54" s="25" t="s">
        <v>149</v>
      </c>
      <c r="H54" s="142">
        <f>Tabel2[[#This Row],[pnt t/m 2021/22]]+Tabel2[[#This Row],[pnt 2022/2023]]</f>
        <v>137.40259740259739</v>
      </c>
      <c r="I54">
        <v>2011</v>
      </c>
      <c r="J54">
        <v>2022</v>
      </c>
      <c r="K54" s="24">
        <f>Tabel2[[#This Row],[ijkdatum]]-Tabel2[[#This Row],[Geboren]]</f>
        <v>11</v>
      </c>
      <c r="L54" s="26">
        <f>Tabel2[[#This Row],[TTL 1]]+Tabel2[[#This Row],[TTL 2]]+Tabel2[[#This Row],[TTL 3]]+Tabel2[[#This Row],[TTL 4]]+Tabel2[[#This Row],[TTL 5]]+Tabel2[[#This Row],[TTL 6]]+Tabel2[[#This Row],[TTL 7]]+Tabel2[[#This Row],[TTL 8]]+Tabel2[[#This Row],[TTL 9]]+Tabel2[[#This Row],[TTL 10]]</f>
        <v>0</v>
      </c>
      <c r="M54" s="141">
        <v>137.40259740259739</v>
      </c>
      <c r="O54">
        <v>1</v>
      </c>
      <c r="S54" s="23">
        <f>SUM(Tabel2[[#This Row],[V 1]]*10+Tabel2[[#This Row],[GT 1]])/Tabel2[[#This Row],[AW 1]]*10+Tabel2[[#This Row],[BONUS 1]]</f>
        <v>0</v>
      </c>
      <c r="U54">
        <v>1</v>
      </c>
      <c r="Y54" s="23">
        <f>SUM(Tabel2[[#This Row],[V 2]]*10+Tabel2[[#This Row],[GT 2]])/Tabel2[[#This Row],[AW 2]]*10+Tabel2[[#This Row],[BONUS 2]]</f>
        <v>0</v>
      </c>
      <c r="AA54">
        <v>1</v>
      </c>
      <c r="AE54" s="23">
        <f>SUM(Tabel2[[#This Row],[V 3]]*10+Tabel2[[#This Row],[GT 3]])/Tabel2[[#This Row],[AW 3]]*10+Tabel2[[#This Row],[BONUS 3]]</f>
        <v>0</v>
      </c>
      <c r="AG54">
        <v>1</v>
      </c>
      <c r="AK54" s="23">
        <f>SUM(Tabel2[[#This Row],[V 4]]*10+Tabel2[[#This Row],[GT 4]])/Tabel2[[#This Row],[AW 4]]*10+Tabel2[[#This Row],[BONUS 4]]</f>
        <v>0</v>
      </c>
      <c r="AM54">
        <v>1</v>
      </c>
      <c r="AQ54" s="23">
        <f>SUM(Tabel2[[#This Row],[V 5]]*10+Tabel2[[#This Row],[GT 5]])/Tabel2[[#This Row],[AW 5]]*10+Tabel2[[#This Row],[BONUS 5]]</f>
        <v>0</v>
      </c>
      <c r="AS54">
        <v>1</v>
      </c>
      <c r="AW54" s="23">
        <f>SUM(Tabel2[[#This Row],[V 6]]*10+Tabel2[[#This Row],[GT 6]])/Tabel2[[#This Row],[AW 6]]*10+Tabel2[[#This Row],[BONUS 6]]</f>
        <v>0</v>
      </c>
      <c r="AY54">
        <v>1</v>
      </c>
      <c r="BC54" s="23">
        <f>SUM(Tabel2[[#This Row],[V 7]]*10+Tabel2[[#This Row],[GT 7]])/Tabel2[[#This Row],[AW 7]]*10+Tabel2[[#This Row],[BONUS 7]]</f>
        <v>0</v>
      </c>
      <c r="BE54">
        <v>1</v>
      </c>
      <c r="BI54" s="23">
        <f>SUM(Tabel2[[#This Row],[V 8]]*10+Tabel2[[#This Row],[GT 8]])/Tabel2[[#This Row],[AW 8]]*10+Tabel2[[#This Row],[BONUS 8]]</f>
        <v>0</v>
      </c>
      <c r="BK54">
        <v>1</v>
      </c>
      <c r="BO54" s="23">
        <f>SUM(Tabel2[[#This Row],[V 9]]*10+Tabel2[[#This Row],[GT 9]])/Tabel2[[#This Row],[AW 9]]*10+Tabel2[[#This Row],[BONUS 9]]</f>
        <v>0</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30">
        <f>Tabel2[[#This Row],[Diploma]]-Tabel2[[#This Row],[Uitgeschreven]]</f>
        <v>0</v>
      </c>
      <c r="BY54" s="2" t="str">
        <f>IF(BX54=0,"geen actie",CONCATENATE("diploma uitschrijven: ",BV54," punten"))</f>
        <v>geen actie</v>
      </c>
      <c r="CA54" s="150">
        <f>Tabel2[[#This Row],[pnt t/m 2021/22]]</f>
        <v>137.40259740259739</v>
      </c>
      <c r="CB54" s="150">
        <f>Tabel2[[#This Row],[pnt 2022/2023]]</f>
        <v>0</v>
      </c>
      <c r="CC54" s="150">
        <f t="shared" si="6"/>
        <v>137.40259740259739</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0</v>
      </c>
      <c r="CK54" s="150">
        <f>IF(Tabel2[[#This Row],[LPR 8]]&gt;0,1,0)</f>
        <v>0</v>
      </c>
      <c r="CL54" s="150">
        <f>IF(Tabel2[[#This Row],[LPR 9]]&gt;0,1,0)</f>
        <v>0</v>
      </c>
      <c r="CM54" s="150">
        <f>IF(Tabel2[[#This Row],[LPR 10]]&gt;0,1,0)</f>
        <v>0</v>
      </c>
      <c r="CN54" s="150">
        <f>SUM(Tabel7[[#This Row],[sep]:[jun]])</f>
        <v>0</v>
      </c>
      <c r="CO54" s="22" t="str">
        <f t="shared" si="1"/>
        <v/>
      </c>
      <c r="CP54" s="22" t="str">
        <f t="shared" si="2"/>
        <v/>
      </c>
      <c r="CQ54" s="22" t="str">
        <f t="shared" si="3"/>
        <v/>
      </c>
      <c r="CR54" s="22" t="str">
        <f t="shared" si="4"/>
        <v/>
      </c>
      <c r="CS54" s="22" t="str">
        <f t="shared" si="5"/>
        <v/>
      </c>
    </row>
    <row r="55" spans="1:97" x14ac:dyDescent="0.3">
      <c r="A55" s="22" t="s">
        <v>145</v>
      </c>
      <c r="B55" s="22" t="s">
        <v>778</v>
      </c>
      <c r="D55" s="22" t="s">
        <v>783</v>
      </c>
      <c r="E55" t="s">
        <v>205</v>
      </c>
      <c r="F55" s="22">
        <v>119325</v>
      </c>
      <c r="G55" s="25" t="s">
        <v>185</v>
      </c>
      <c r="H55" s="142">
        <f>Tabel2[[#This Row],[pnt t/m 2021/22]]+Tabel2[[#This Row],[pnt 2022/2023]]</f>
        <v>1180.9402215431626</v>
      </c>
      <c r="I55">
        <v>2009</v>
      </c>
      <c r="J55">
        <v>2022</v>
      </c>
      <c r="K55" s="24">
        <f>Tabel2[[#This Row],[ijkdatum]]-Tabel2[[#This Row],[Geboren]]</f>
        <v>13</v>
      </c>
      <c r="L55" s="26">
        <f>Tabel2[[#This Row],[TTL 1]]+Tabel2[[#This Row],[TTL 2]]+Tabel2[[#This Row],[TTL 3]]+Tabel2[[#This Row],[TTL 4]]+Tabel2[[#This Row],[TTL 5]]+Tabel2[[#This Row],[TTL 6]]+Tabel2[[#This Row],[TTL 7]]+Tabel2[[#This Row],[TTL 8]]+Tabel2[[#This Row],[TTL 9]]+Tabel2[[#This Row],[TTL 10]]</f>
        <v>186.96078431372547</v>
      </c>
      <c r="M55" s="141">
        <v>993.97943722943717</v>
      </c>
      <c r="N55">
        <v>10</v>
      </c>
      <c r="O55">
        <v>17</v>
      </c>
      <c r="P55">
        <v>8</v>
      </c>
      <c r="Q55">
        <v>65</v>
      </c>
      <c r="S55" s="23">
        <f>SUM(Tabel2[[#This Row],[V 1]]*10+Tabel2[[#This Row],[GT 1]])/Tabel2[[#This Row],[AW 1]]*10+Tabel2[[#This Row],[BONUS 1]]</f>
        <v>85.294117647058826</v>
      </c>
      <c r="T55">
        <v>7</v>
      </c>
      <c r="U55">
        <v>12</v>
      </c>
      <c r="V55">
        <v>7</v>
      </c>
      <c r="W55">
        <v>104</v>
      </c>
      <c r="Y55" s="23">
        <f>SUM(Tabel2[[#This Row],[V 2]]*10+(Tabel2[[#This Row],[GT 2]]/2))/Tabel2[[#This Row],[AW 2]]*10+Tabel2[[#This Row],[BONUS 2]]</f>
        <v>101.66666666666666</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 6]])/Tabel2[[#This Row],[AW 6]]*10+Tabel2[[#This Row],[BONUS 6]]</f>
        <v>0</v>
      </c>
      <c r="AY55">
        <v>1</v>
      </c>
      <c r="BC55" s="23">
        <f>SUM(Tabel2[[#This Row],[V 7]]*10+Tabel2[[#This Row],[GT 7]])/Tabel2[[#This Row],[AW 7]]*10+Tabel2[[#This Row],[BONUS 7]]</f>
        <v>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5" s="22">
        <v>1000</v>
      </c>
      <c r="BX55" s="30">
        <f>Tabel2[[#This Row],[Diploma]]-Tabel2[[#This Row],[Uitgeschreven]]</f>
        <v>0</v>
      </c>
      <c r="BY55" s="2" t="str">
        <f>IF(BX55=0,"geen actie",CONCATENATE("diploma uitschrijven: ",BV55," punten"))</f>
        <v>geen actie</v>
      </c>
      <c r="CA55" s="150">
        <f>Tabel2[[#This Row],[pnt t/m 2021/22]]</f>
        <v>993.97943722943717</v>
      </c>
      <c r="CB55" s="150">
        <f>Tabel2[[#This Row],[pnt 2022/2023]]</f>
        <v>186.96078431372547</v>
      </c>
      <c r="CC55" s="150">
        <f t="shared" si="6"/>
        <v>1180.9402215431626</v>
      </c>
      <c r="CD55" s="150">
        <f>IF(Tabel2[[#This Row],[LPR 1]]&gt;0,1,0)</f>
        <v>1</v>
      </c>
      <c r="CE55" s="150">
        <f>IF(Tabel2[[#This Row],[LPR 2]]&gt;0,1,0)</f>
        <v>1</v>
      </c>
      <c r="CF55" s="150">
        <f>IF(Tabel2[[#This Row],[LPR 3]]&gt;0,1,0)</f>
        <v>0</v>
      </c>
      <c r="CG55" s="150">
        <f>IF(Tabel2[[#This Row],[LPR 4]]&gt;0,1,0)</f>
        <v>0</v>
      </c>
      <c r="CH55" s="150">
        <f>IF(Tabel2[[#This Row],[LPR 5]]&gt;0,1,0)</f>
        <v>0</v>
      </c>
      <c r="CI55" s="150">
        <f>IF(Tabel2[[#This Row],[LPR 6]]&gt;0,1,0)</f>
        <v>0</v>
      </c>
      <c r="CJ55" s="150">
        <f>IF(Tabel2[[#This Row],[LPR 7]]&gt;0,1,0)</f>
        <v>0</v>
      </c>
      <c r="CK55" s="150">
        <f>IF(Tabel2[[#This Row],[LPR 8]]&gt;0,1,0)</f>
        <v>0</v>
      </c>
      <c r="CL55" s="150">
        <f>IF(Tabel2[[#This Row],[LPR 9]]&gt;0,1,0)</f>
        <v>0</v>
      </c>
      <c r="CM55" s="150">
        <f>IF(Tabel2[[#This Row],[LPR 10]]&gt;0,1,0)</f>
        <v>0</v>
      </c>
      <c r="CN55" s="150">
        <f>SUM(Tabel7[[#This Row],[sep]:[jun]])</f>
        <v>2</v>
      </c>
      <c r="CO55" s="22" t="str">
        <f t="shared" si="1"/>
        <v>x</v>
      </c>
      <c r="CP55" s="22" t="str">
        <f t="shared" si="2"/>
        <v/>
      </c>
      <c r="CQ55" s="22" t="str">
        <f t="shared" si="3"/>
        <v/>
      </c>
      <c r="CR55" s="22" t="str">
        <f t="shared" si="4"/>
        <v/>
      </c>
      <c r="CS55" s="22" t="str">
        <f t="shared" si="5"/>
        <v/>
      </c>
    </row>
    <row r="56" spans="1:97" x14ac:dyDescent="0.3">
      <c r="A56" s="22" t="s">
        <v>135</v>
      </c>
      <c r="B56" s="22" t="s">
        <v>778</v>
      </c>
      <c r="D56" s="22" t="s">
        <v>784</v>
      </c>
      <c r="E56" t="s">
        <v>780</v>
      </c>
      <c r="F56" s="22">
        <v>120919</v>
      </c>
      <c r="G56" s="25" t="s">
        <v>369</v>
      </c>
      <c r="H56" s="142">
        <f>Tabel2[[#This Row],[pnt t/m 2021/22]]+Tabel2[[#This Row],[pnt 2022/2023]]</f>
        <v>100</v>
      </c>
      <c r="I56">
        <v>2009</v>
      </c>
      <c r="J56">
        <v>2023</v>
      </c>
      <c r="K56" s="24">
        <f>Tabel2[[#This Row],[ijkdatum]]-Tabel2[[#This Row],[Geboren]]</f>
        <v>14</v>
      </c>
      <c r="L56" s="26">
        <f>Tabel2[[#This Row],[TTL 1]]+Tabel2[[#This Row],[TTL 2]]+Tabel2[[#This Row],[TTL 3]]+Tabel2[[#This Row],[TTL 4]]+Tabel2[[#This Row],[TTL 5]]+Tabel2[[#This Row],[TTL 6]]+Tabel2[[#This Row],[TTL 7]]+Tabel2[[#This Row],[TTL 8]]+Tabel2[[#This Row],[TTL 9]]+Tabel2[[#This Row],[TTL 10]]</f>
        <v>100</v>
      </c>
      <c r="M56" s="141"/>
      <c r="N56">
        <v>3</v>
      </c>
      <c r="O56">
        <v>10</v>
      </c>
      <c r="P56">
        <v>6</v>
      </c>
      <c r="Q56">
        <v>40</v>
      </c>
      <c r="S56" s="23">
        <f>SUM(Tabel2[[#This Row],[V 1]]*10+Tabel2[[#This Row],[GT 1]])/Tabel2[[#This Row],[AW 1]]*10+Tabel2[[#This Row],[BONUS 1]]</f>
        <v>100</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M56">
        <v>1</v>
      </c>
      <c r="AQ56" s="23">
        <f>SUM(Tabel2[[#This Row],[V 5]]*10+Tabel2[[#This Row],[GT 5]])/Tabel2[[#This Row],[AW 5]]*10+Tabel2[[#This Row],[BONUS 5]]</f>
        <v>0</v>
      </c>
      <c r="AS56">
        <v>1</v>
      </c>
      <c r="AW56" s="23">
        <f>SUM(Tabel2[[#This Row],[V 6]]*10+Tabel2[[#This Row],[GT 6]])/Tabel2[[#This Row],[AW 6]]*10+Tabel2[[#This Row],[BONUS 6]]</f>
        <v>0</v>
      </c>
      <c r="AY56">
        <v>1</v>
      </c>
      <c r="BC56" s="23">
        <f>SUM(Tabel2[[#This Row],[V 7]]*10+Tabel2[[#This Row],[GT 7]])/Tabel2[[#This Row],[AW 7]]*10+Tabel2[[#This Row],[BONUS 7]]</f>
        <v>0</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30">
        <f>Tabel2[[#This Row],[Diploma]]-Tabel2[[#This Row],[Uitgeschreven]]</f>
        <v>0</v>
      </c>
      <c r="BY56" s="2" t="str">
        <f>IF(BX56=0,"geen actie",CONCATENATE("diploma uitschrijven: ",BV56," punten"))</f>
        <v>geen actie</v>
      </c>
      <c r="CA56" s="150">
        <f>Tabel2[[#This Row],[pnt t/m 2021/22]]</f>
        <v>0</v>
      </c>
      <c r="CB56" s="150">
        <f>Tabel2[[#This Row],[pnt 2022/2023]]</f>
        <v>100</v>
      </c>
      <c r="CC56" s="150">
        <f t="shared" si="6"/>
        <v>100</v>
      </c>
      <c r="CD56" s="150">
        <f>IF(Tabel2[[#This Row],[LPR 1]]&gt;0,1,0)</f>
        <v>1</v>
      </c>
      <c r="CE56" s="150">
        <f>IF(Tabel2[[#This Row],[LPR 2]]&gt;0,1,0)</f>
        <v>0</v>
      </c>
      <c r="CF56" s="150">
        <f>IF(Tabel2[[#This Row],[LPR 3]]&gt;0,1,0)</f>
        <v>0</v>
      </c>
      <c r="CG56" s="150">
        <f>IF(Tabel2[[#This Row],[LPR 4]]&gt;0,1,0)</f>
        <v>0</v>
      </c>
      <c r="CH56" s="150">
        <f>IF(Tabel2[[#This Row],[LPR 5]]&gt;0,1,0)</f>
        <v>0</v>
      </c>
      <c r="CI56" s="150">
        <f>IF(Tabel2[[#This Row],[LPR 6]]&gt;0,1,0)</f>
        <v>0</v>
      </c>
      <c r="CJ56" s="150">
        <f>IF(Tabel2[[#This Row],[LPR 7]]&gt;0,1,0)</f>
        <v>0</v>
      </c>
      <c r="CK56" s="150">
        <f>IF(Tabel2[[#This Row],[LPR 8]]&gt;0,1,0)</f>
        <v>0</v>
      </c>
      <c r="CL56" s="150">
        <f>IF(Tabel2[[#This Row],[LPR 9]]&gt;0,1,0)</f>
        <v>0</v>
      </c>
      <c r="CM56" s="150">
        <f>IF(Tabel2[[#This Row],[LPR 10]]&gt;0,1,0)</f>
        <v>0</v>
      </c>
      <c r="CN56" s="150">
        <f>SUM(Tabel7[[#This Row],[sep]:[jun]])</f>
        <v>1</v>
      </c>
      <c r="CO56" s="22" t="str">
        <f t="shared" si="1"/>
        <v/>
      </c>
      <c r="CP56" s="22" t="str">
        <f t="shared" si="2"/>
        <v/>
      </c>
      <c r="CQ56" s="22" t="str">
        <f t="shared" si="3"/>
        <v/>
      </c>
      <c r="CR56" s="22" t="str">
        <f t="shared" si="4"/>
        <v/>
      </c>
      <c r="CS56" s="22" t="str">
        <f t="shared" si="5"/>
        <v/>
      </c>
    </row>
    <row r="57" spans="1:97" x14ac:dyDescent="0.3">
      <c r="A57" s="22" t="s">
        <v>169</v>
      </c>
      <c r="B57" s="22" t="s">
        <v>778</v>
      </c>
      <c r="D57" s="22" t="s">
        <v>137</v>
      </c>
      <c r="E57" t="s">
        <v>215</v>
      </c>
      <c r="F57" s="22">
        <v>119423</v>
      </c>
      <c r="G57" s="25" t="s">
        <v>185</v>
      </c>
      <c r="H57" s="142">
        <f>Tabel2[[#This Row],[pnt t/m 2021/22]]+Tabel2[[#This Row],[pnt 2022/2023]]</f>
        <v>187.97619047619048</v>
      </c>
      <c r="I57">
        <v>2011</v>
      </c>
      <c r="J57">
        <v>2022</v>
      </c>
      <c r="K57" s="24">
        <f>Tabel2[[#This Row],[ijkdatum]]-Tabel2[[#This Row],[Geboren]]</f>
        <v>11</v>
      </c>
      <c r="L57" s="26">
        <f>Tabel2[[#This Row],[TTL 1]]+Tabel2[[#This Row],[TTL 2]]+Tabel2[[#This Row],[TTL 3]]+Tabel2[[#This Row],[TTL 4]]+Tabel2[[#This Row],[TTL 5]]+Tabel2[[#This Row],[TTL 6]]+Tabel2[[#This Row],[TTL 7]]+Tabel2[[#This Row],[TTL 8]]+Tabel2[[#This Row],[TTL 9]]+Tabel2[[#This Row],[TTL 10]]</f>
        <v>0</v>
      </c>
      <c r="M57" s="141">
        <v>187.97619047619048</v>
      </c>
      <c r="O57">
        <v>1</v>
      </c>
      <c r="S57" s="23">
        <f>SUM(Tabel2[[#This Row],[V 1]]*10+Tabel2[[#This Row],[GT 1]])/Tabel2[[#This Row],[AW 1]]*10+Tabel2[[#This Row],[BONUS 1]]</f>
        <v>0</v>
      </c>
      <c r="U57">
        <v>1</v>
      </c>
      <c r="Y57" s="23">
        <f>SUM(Tabel2[[#This Row],[V 2]]*10+Tabel2[[#This Row],[GT 2]])/Tabel2[[#This Row],[AW 2]]*10+Tabel2[[#This Row],[BONUS 2]]</f>
        <v>0</v>
      </c>
      <c r="AA57">
        <v>1</v>
      </c>
      <c r="AE57" s="23">
        <f>SUM(Tabel2[[#This Row],[V 3]]*10+Tabel2[[#This Row],[GT 3]])/Tabel2[[#This Row],[AW 3]]*10+Tabel2[[#This Row],[BONUS 3]]</f>
        <v>0</v>
      </c>
      <c r="AG57">
        <v>1</v>
      </c>
      <c r="AK57" s="23">
        <f>SUM(Tabel2[[#This Row],[V 4]]*10+Tabel2[[#This Row],[GT 4]])/Tabel2[[#This Row],[AW 4]]*10+Tabel2[[#This Row],[BONUS 4]]</f>
        <v>0</v>
      </c>
      <c r="AM57">
        <v>1</v>
      </c>
      <c r="AQ57" s="23">
        <f>SUM(Tabel2[[#This Row],[V 5]]*10+Tabel2[[#This Row],[GT 5]])/Tabel2[[#This Row],[AW 5]]*10+Tabel2[[#This Row],[BONUS 5]]</f>
        <v>0</v>
      </c>
      <c r="AS57">
        <v>1</v>
      </c>
      <c r="AW57" s="23">
        <f>SUM(Tabel2[[#This Row],[V 6]]*10+Tabel2[[#This Row],[GT 6]])/Tabel2[[#This Row],[AW 6]]*10+Tabel2[[#This Row],[BONUS 6]]</f>
        <v>0</v>
      </c>
      <c r="AY57">
        <v>1</v>
      </c>
      <c r="BC57" s="23">
        <f>SUM(Tabel2[[#This Row],[V 7]]*10+Tabel2[[#This Row],[GT 7]])/Tabel2[[#This Row],[AW 7]]*10+Tabel2[[#This Row],[BONUS 7]]</f>
        <v>0</v>
      </c>
      <c r="BE57">
        <v>1</v>
      </c>
      <c r="BI57" s="23">
        <f>SUM(Tabel2[[#This Row],[V 8]]*10+Tabel2[[#This Row],[GT 8]])/Tabel2[[#This Row],[AW 8]]*10+Tabel2[[#This Row],[BONUS 8]]</f>
        <v>0</v>
      </c>
      <c r="BK57">
        <v>1</v>
      </c>
      <c r="BO57" s="23">
        <f>SUM(Tabel2[[#This Row],[V 9]]*10+Tabel2[[#This Row],[GT 9]])/Tabel2[[#This Row],[AW 9]]*10+Tabel2[[#This Row],[BONUS 9]]</f>
        <v>0</v>
      </c>
      <c r="BQ57">
        <v>1</v>
      </c>
      <c r="BU57" s="23">
        <f>SUM(Tabel2[[#This Row],[V 10]]*10+Tabel2[[#This Row],[GT 10]])/Tabel2[[#This Row],[AW 10]]*10+Tabel2[[#This Row],[BONUS 10]]</f>
        <v>0</v>
      </c>
      <c r="BV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7" s="22">
        <v>0</v>
      </c>
      <c r="BX57" s="30">
        <f>Tabel2[[#This Row],[Diploma]]-Tabel2[[#This Row],[Uitgeschreven]]</f>
        <v>0</v>
      </c>
      <c r="BY57" s="2" t="str">
        <f>IF(BX57=0,"geen actie",CONCATENATE("diploma uitschrijven: ",BV57," punten"))</f>
        <v>geen actie</v>
      </c>
      <c r="CA57" s="150">
        <f>Tabel2[[#This Row],[pnt t/m 2021/22]]</f>
        <v>187.97619047619048</v>
      </c>
      <c r="CB57" s="150">
        <f>Tabel2[[#This Row],[pnt 2022/2023]]</f>
        <v>0</v>
      </c>
      <c r="CC57" s="150">
        <f t="shared" si="6"/>
        <v>187.97619047619048</v>
      </c>
      <c r="CD57" s="150">
        <f>IF(Tabel2[[#This Row],[LPR 1]]&gt;0,1,0)</f>
        <v>0</v>
      </c>
      <c r="CE57" s="150">
        <f>IF(Tabel2[[#This Row],[LPR 2]]&gt;0,1,0)</f>
        <v>0</v>
      </c>
      <c r="CF57" s="150">
        <f>IF(Tabel2[[#This Row],[LPR 3]]&gt;0,1,0)</f>
        <v>0</v>
      </c>
      <c r="CG57" s="150">
        <f>IF(Tabel2[[#This Row],[LPR 4]]&gt;0,1,0)</f>
        <v>0</v>
      </c>
      <c r="CH57" s="150">
        <f>IF(Tabel2[[#This Row],[LPR 5]]&gt;0,1,0)</f>
        <v>0</v>
      </c>
      <c r="CI57" s="150">
        <f>IF(Tabel2[[#This Row],[LPR 6]]&gt;0,1,0)</f>
        <v>0</v>
      </c>
      <c r="CJ57" s="150">
        <f>IF(Tabel2[[#This Row],[LPR 7]]&gt;0,1,0)</f>
        <v>0</v>
      </c>
      <c r="CK57" s="150">
        <f>IF(Tabel2[[#This Row],[LPR 8]]&gt;0,1,0)</f>
        <v>0</v>
      </c>
      <c r="CL57" s="150">
        <f>IF(Tabel2[[#This Row],[LPR 9]]&gt;0,1,0)</f>
        <v>0</v>
      </c>
      <c r="CM57" s="150">
        <f>IF(Tabel2[[#This Row],[LPR 10]]&gt;0,1,0)</f>
        <v>0</v>
      </c>
      <c r="CN57" s="150">
        <f>SUM(Tabel7[[#This Row],[sep]:[jun]])</f>
        <v>0</v>
      </c>
      <c r="CO57" s="22" t="str">
        <f t="shared" si="1"/>
        <v/>
      </c>
      <c r="CP57" s="22" t="str">
        <f t="shared" si="2"/>
        <v/>
      </c>
      <c r="CQ57" s="22" t="str">
        <f t="shared" si="3"/>
        <v/>
      </c>
      <c r="CR57" s="22" t="str">
        <f t="shared" si="4"/>
        <v/>
      </c>
      <c r="CS57" s="22" t="str">
        <f t="shared" si="5"/>
        <v/>
      </c>
    </row>
    <row r="58" spans="1:97" x14ac:dyDescent="0.3">
      <c r="A58" s="22" t="s">
        <v>135</v>
      </c>
      <c r="B58" s="22" t="s">
        <v>778</v>
      </c>
      <c r="D58" s="22" t="s">
        <v>783</v>
      </c>
      <c r="E58" t="s">
        <v>775</v>
      </c>
      <c r="F58" s="22">
        <v>120729</v>
      </c>
      <c r="G58" s="25" t="s">
        <v>287</v>
      </c>
      <c r="H58" s="142">
        <f>Tabel2[[#This Row],[pnt t/m 2021/22]]+Tabel2[[#This Row],[pnt 2022/2023]]</f>
        <v>178</v>
      </c>
      <c r="I58">
        <v>2011</v>
      </c>
      <c r="J58">
        <v>2023</v>
      </c>
      <c r="K58" s="24">
        <f>Tabel2[[#This Row],[ijkdatum]]-Tabel2[[#This Row],[Geboren]]</f>
        <v>12</v>
      </c>
      <c r="L58" s="26">
        <f>Tabel2[[#This Row],[TTL 1]]+Tabel2[[#This Row],[TTL 2]]+Tabel2[[#This Row],[TTL 3]]+Tabel2[[#This Row],[TTL 4]]+Tabel2[[#This Row],[TTL 5]]+Tabel2[[#This Row],[TTL 6]]+Tabel2[[#This Row],[TTL 7]]+Tabel2[[#This Row],[TTL 8]]+Tabel2[[#This Row],[TTL 9]]+Tabel2[[#This Row],[TTL 10]]</f>
        <v>178</v>
      </c>
      <c r="M58" s="151"/>
      <c r="N58">
        <v>4</v>
      </c>
      <c r="O58">
        <v>10</v>
      </c>
      <c r="P58">
        <v>8</v>
      </c>
      <c r="Q58">
        <v>48</v>
      </c>
      <c r="S58" s="23">
        <f>SUM(Tabel2[[#This Row],[V 1]]*10+Tabel2[[#This Row],[GT 1]])/Tabel2[[#This Row],[AW 1]]*10+Tabel2[[#This Row],[BONUS 1]]</f>
        <v>128</v>
      </c>
      <c r="T58">
        <v>1</v>
      </c>
      <c r="U58">
        <v>1</v>
      </c>
      <c r="X58">
        <v>50</v>
      </c>
      <c r="Y58" s="23">
        <f>SUM(Tabel2[[#This Row],[V 2]]*10+Tabel2[[#This Row],[GT 2]])/Tabel2[[#This Row],[AW 2]]*10+Tabel2[[#This Row],[BONUS 2]]</f>
        <v>50</v>
      </c>
      <c r="AA58">
        <v>1</v>
      </c>
      <c r="AE58" s="23">
        <f>SUM(Tabel2[[#This Row],[V 3]]*10+Tabel2[[#This Row],[GT 3]])/Tabel2[[#This Row],[AW 3]]*10+Tabel2[[#This Row],[BONUS 3]]</f>
        <v>0</v>
      </c>
      <c r="AG58">
        <v>1</v>
      </c>
      <c r="AK58" s="23">
        <f>SUM(Tabel2[[#This Row],[V 4]]*10+Tabel2[[#This Row],[GT 4]])/Tabel2[[#This Row],[AW 4]]*10+Tabel2[[#This Row],[BONUS 4]]</f>
        <v>0</v>
      </c>
      <c r="AM58">
        <v>1</v>
      </c>
      <c r="AQ58" s="23">
        <f>SUM(Tabel2[[#This Row],[V 5]]*10+Tabel2[[#This Row],[GT 5]])/Tabel2[[#This Row],[AW 5]]*10+Tabel2[[#This Row],[BONUS 5]]</f>
        <v>0</v>
      </c>
      <c r="AS58">
        <v>1</v>
      </c>
      <c r="AW58" s="23">
        <f>SUM(Tabel2[[#This Row],[V 6]]*10+Tabel2[[#This Row],[GT 6]])/Tabel2[[#This Row],[AW 6]]*10+Tabel2[[#This Row],[BONUS 6]]</f>
        <v>0</v>
      </c>
      <c r="AY58">
        <v>1</v>
      </c>
      <c r="BC58" s="23">
        <f>SUM(Tabel2[[#This Row],[V 7]]*10+Tabel2[[#This Row],[GT 7]])/Tabel2[[#This Row],[AW 7]]*10+Tabel2[[#This Row],[BONUS 7]]</f>
        <v>0</v>
      </c>
      <c r="BE58">
        <v>1</v>
      </c>
      <c r="BI58" s="23">
        <f>SUM(Tabel2[[#This Row],[V 8]]*10+Tabel2[[#This Row],[GT 8]])/Tabel2[[#This Row],[AW 8]]*10+Tabel2[[#This Row],[BONUS 8]]</f>
        <v>0</v>
      </c>
      <c r="BK58">
        <v>1</v>
      </c>
      <c r="BO58" s="2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30">
        <f>Tabel2[[#This Row],[Diploma]]-Tabel2[[#This Row],[Uitgeschreven]]</f>
        <v>0</v>
      </c>
      <c r="BY58" s="2" t="str">
        <f>IF(BX58=0,"geen actie",CONCATENATE("diploma uitschrijven: ",BV58," punten"))</f>
        <v>geen actie</v>
      </c>
      <c r="CA58" s="150">
        <f>Tabel2[[#This Row],[pnt t/m 2021/22]]</f>
        <v>0</v>
      </c>
      <c r="CB58" s="150">
        <f>Tabel2[[#This Row],[pnt 2022/2023]]</f>
        <v>178</v>
      </c>
      <c r="CC58" s="150">
        <f t="shared" si="6"/>
        <v>178</v>
      </c>
      <c r="CD58" s="150">
        <f>IF(Tabel2[[#This Row],[LPR 1]]&gt;0,1,0)</f>
        <v>1</v>
      </c>
      <c r="CE58" s="150">
        <f>IF(Tabel2[[#This Row],[LPR 2]]&gt;0,1,0)</f>
        <v>1</v>
      </c>
      <c r="CF58" s="150">
        <f>IF(Tabel2[[#This Row],[LPR 3]]&gt;0,1,0)</f>
        <v>0</v>
      </c>
      <c r="CG58" s="150">
        <f>IF(Tabel2[[#This Row],[LPR 4]]&gt;0,1,0)</f>
        <v>0</v>
      </c>
      <c r="CH58" s="150">
        <f>IF(Tabel2[[#This Row],[LPR 5]]&gt;0,1,0)</f>
        <v>0</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2</v>
      </c>
      <c r="CO58" s="22" t="str">
        <f t="shared" si="1"/>
        <v/>
      </c>
      <c r="CP58" s="22" t="str">
        <f t="shared" si="2"/>
        <v/>
      </c>
      <c r="CQ58" s="22" t="str">
        <f t="shared" si="3"/>
        <v/>
      </c>
      <c r="CR58" s="22" t="str">
        <f t="shared" si="4"/>
        <v/>
      </c>
      <c r="CS58" s="22" t="str">
        <f t="shared" si="5"/>
        <v/>
      </c>
    </row>
    <row r="59" spans="1:97" x14ac:dyDescent="0.3">
      <c r="A59" s="22" t="s">
        <v>140</v>
      </c>
      <c r="B59" s="22" t="s">
        <v>779</v>
      </c>
      <c r="D59" s="22" t="s">
        <v>137</v>
      </c>
      <c r="E59" t="s">
        <v>216</v>
      </c>
      <c r="F59" s="22">
        <v>120455</v>
      </c>
      <c r="G59" s="25" t="s">
        <v>151</v>
      </c>
      <c r="H59" s="23">
        <f>Tabel2[[#This Row],[pnt t/m 2021/22]]+Tabel2[[#This Row],[pnt 2022/2023]]</f>
        <v>16.666666666666668</v>
      </c>
      <c r="I59">
        <v>2013</v>
      </c>
      <c r="J59">
        <v>2022</v>
      </c>
      <c r="K59" s="24">
        <f>Tabel2[[#This Row],[ijkdatum]]-Tabel2[[#This Row],[Geboren]]</f>
        <v>9</v>
      </c>
      <c r="L59" s="26">
        <f>Tabel2[[#This Row],[TTL 1]]+Tabel2[[#This Row],[TTL 2]]+Tabel2[[#This Row],[TTL 3]]+Tabel2[[#This Row],[TTL 4]]+Tabel2[[#This Row],[TTL 5]]+Tabel2[[#This Row],[TTL 6]]+Tabel2[[#This Row],[TTL 7]]+Tabel2[[#This Row],[TTL 8]]+Tabel2[[#This Row],[TTL 9]]+Tabel2[[#This Row],[TTL 10]]</f>
        <v>0</v>
      </c>
      <c r="M59" s="153">
        <v>16.666666666666668</v>
      </c>
      <c r="O59">
        <v>1</v>
      </c>
      <c r="S59" s="15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M59">
        <v>1</v>
      </c>
      <c r="AQ59" s="23">
        <f>SUM(Tabel2[[#This Row],[V 5]]*10+Tabel2[[#This Row],[GT 5]])/Tabel2[[#This Row],[AW 5]]*10+Tabel2[[#This Row],[BONUS 5]]</f>
        <v>0</v>
      </c>
      <c r="AS59">
        <v>1</v>
      </c>
      <c r="AW59" s="23">
        <f>SUM(Tabel2[[#This Row],[V 6]]*10+Tabel2[[#This Row],[GT 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9" s="22">
        <v>0</v>
      </c>
      <c r="BX59" s="22">
        <f>Tabel2[[#This Row],[Diploma]]-Tabel2[[#This Row],[Uitgeschreven]]</f>
        <v>0</v>
      </c>
      <c r="BY59" s="155" t="str">
        <f>IF(BX59=0,"geen actie",CONCATENATE("diploma uitschrijven: ",BV59," punten"))</f>
        <v>geen actie</v>
      </c>
      <c r="CA59" s="150">
        <f>Tabel2[[#This Row],[pnt t/m 2021/22]]</f>
        <v>16.666666666666668</v>
      </c>
      <c r="CB59" s="150">
        <f>Tabel2[[#This Row],[pnt 2022/2023]]</f>
        <v>0</v>
      </c>
      <c r="CC59" s="150">
        <f t="shared" si="6"/>
        <v>16.666666666666668</v>
      </c>
      <c r="CD59" s="150">
        <f>IF(Tabel2[[#This Row],[LPR 1]]&gt;0,1,0)</f>
        <v>0</v>
      </c>
      <c r="CE59" s="150">
        <f>IF(Tabel2[[#This Row],[LPR 2]]&gt;0,1,0)</f>
        <v>0</v>
      </c>
      <c r="CF59" s="150">
        <f>IF(Tabel2[[#This Row],[LPR 3]]&gt;0,1,0)</f>
        <v>0</v>
      </c>
      <c r="CG59" s="150">
        <f>IF(Tabel2[[#This Row],[LPR 4]]&gt;0,1,0)</f>
        <v>0</v>
      </c>
      <c r="CH59" s="150">
        <f>IF(Tabel2[[#This Row],[LPR 5]]&gt;0,1,0)</f>
        <v>0</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0</v>
      </c>
      <c r="CO59" s="22" t="str">
        <f t="shared" si="1"/>
        <v/>
      </c>
      <c r="CP59" s="22" t="str">
        <f t="shared" si="2"/>
        <v/>
      </c>
      <c r="CQ59" s="22" t="str">
        <f t="shared" si="3"/>
        <v/>
      </c>
      <c r="CR59" s="22" t="str">
        <f t="shared" si="4"/>
        <v/>
      </c>
      <c r="CS59" s="22" t="str">
        <f t="shared" si="5"/>
        <v/>
      </c>
    </row>
    <row r="60" spans="1:97" x14ac:dyDescent="0.3">
      <c r="A60" s="22" t="s">
        <v>169</v>
      </c>
      <c r="B60" s="22" t="s">
        <v>778</v>
      </c>
      <c r="D60" s="22" t="s">
        <v>137</v>
      </c>
      <c r="E60" t="s">
        <v>217</v>
      </c>
      <c r="F60" s="22">
        <v>119737</v>
      </c>
      <c r="G60" s="25" t="s">
        <v>149</v>
      </c>
      <c r="H60" s="23">
        <f>Tabel2[[#This Row],[pnt t/m 2021/22]]+Tabel2[[#This Row],[pnt 2022/2023]]</f>
        <v>48.571428571428569</v>
      </c>
      <c r="I60">
        <v>2011</v>
      </c>
      <c r="J60">
        <v>2022</v>
      </c>
      <c r="K60" s="24">
        <f>Tabel2[[#This Row],[ijkdatum]]-Tabel2[[#This Row],[Geboren]]</f>
        <v>11</v>
      </c>
      <c r="L60" s="26">
        <f>Tabel2[[#This Row],[TTL 1]]+Tabel2[[#This Row],[TTL 2]]+Tabel2[[#This Row],[TTL 3]]+Tabel2[[#This Row],[TTL 4]]+Tabel2[[#This Row],[TTL 5]]+Tabel2[[#This Row],[TTL 6]]+Tabel2[[#This Row],[TTL 7]]+Tabel2[[#This Row],[TTL 8]]+Tabel2[[#This Row],[TTL 9]]+Tabel2[[#This Row],[TTL 10]]</f>
        <v>0</v>
      </c>
      <c r="M60" s="153">
        <v>48.571428571428569</v>
      </c>
      <c r="O60">
        <v>1</v>
      </c>
      <c r="S60" s="153">
        <f>SUM(Tabel2[[#This Row],[V 1]]*10+Tabel2[[#This Row],[GT 1]])/Tabel2[[#This Row],[AW 1]]*10+Tabel2[[#This Row],[BONUS 1]]</f>
        <v>0</v>
      </c>
      <c r="U60">
        <v>1</v>
      </c>
      <c r="Y60" s="153">
        <f>SUM(Tabel2[[#This Row],[V 2]]*10+Tabel2[[#This Row],[GT 2]])/Tabel2[[#This Row],[AW 2]]*10+Tabel2[[#This Row],[BONUS 2]]</f>
        <v>0</v>
      </c>
      <c r="AA60">
        <v>1</v>
      </c>
      <c r="AE60" s="153">
        <f>SUM(Tabel2[[#This Row],[V 3]]*10+Tabel2[[#This Row],[GT 3]])/Tabel2[[#This Row],[AW 3]]*10+Tabel2[[#This Row],[BONUS 3]]</f>
        <v>0</v>
      </c>
      <c r="AG60">
        <v>1</v>
      </c>
      <c r="AK60" s="153">
        <f>SUM(Tabel2[[#This Row],[V 4]]*10+Tabel2[[#This Row],[GT 4]])/Tabel2[[#This Row],[AW 4]]*10+Tabel2[[#This Row],[BONUS 4]]</f>
        <v>0</v>
      </c>
      <c r="AM60">
        <v>1</v>
      </c>
      <c r="AQ60" s="153">
        <f>SUM(Tabel2[[#This Row],[V 5]]*10+Tabel2[[#This Row],[GT 5]])/Tabel2[[#This Row],[AW 5]]*10+Tabel2[[#This Row],[BONUS 5]]</f>
        <v>0</v>
      </c>
      <c r="AS60">
        <v>1</v>
      </c>
      <c r="AW60" s="153">
        <f>SUM(Tabel2[[#This Row],[V 6]]*10+Tabel2[[#This Row],[GT 6]])/Tabel2[[#This Row],[AW 6]]*10+Tabel2[[#This Row],[BONUS 6]]</f>
        <v>0</v>
      </c>
      <c r="AY60">
        <v>1</v>
      </c>
      <c r="BC60" s="153">
        <f>SUM(Tabel2[[#This Row],[V 7]]*10+Tabel2[[#This Row],[GT 7]])/Tabel2[[#This Row],[AW 7]]*10+Tabel2[[#This Row],[BONUS 7]]</f>
        <v>0</v>
      </c>
      <c r="BE60">
        <v>1</v>
      </c>
      <c r="BI60" s="153">
        <f>SUM(Tabel2[[#This Row],[V 8]]*10+Tabel2[[#This Row],[GT 8]])/Tabel2[[#This Row],[AW 8]]*10+Tabel2[[#This Row],[BONUS 8]]</f>
        <v>0</v>
      </c>
      <c r="BK60">
        <v>1</v>
      </c>
      <c r="BO60" s="15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22">
        <f>Tabel2[[#This Row],[Diploma]]-Tabel2[[#This Row],[Uitgeschreven]]</f>
        <v>0</v>
      </c>
      <c r="BY60" s="155" t="str">
        <f>IF(BX60=0,"geen actie",CONCATENATE("diploma uitschrijven: ",BV60," punten"))</f>
        <v>geen actie</v>
      </c>
      <c r="CA60" s="150">
        <f>Tabel2[[#This Row],[pnt t/m 2021/22]]</f>
        <v>48.571428571428569</v>
      </c>
      <c r="CB60" s="150">
        <f>Tabel2[[#This Row],[pnt 2022/2023]]</f>
        <v>0</v>
      </c>
      <c r="CC60" s="150">
        <f t="shared" si="6"/>
        <v>48.571428571428569</v>
      </c>
      <c r="CD60" s="150">
        <f>IF(Tabel2[[#This Row],[LPR 1]]&gt;0,1,0)</f>
        <v>0</v>
      </c>
      <c r="CE60" s="150">
        <f>IF(Tabel2[[#This Row],[LPR 2]]&gt;0,1,0)</f>
        <v>0</v>
      </c>
      <c r="CF60" s="150">
        <f>IF(Tabel2[[#This Row],[LPR 3]]&gt;0,1,0)</f>
        <v>0</v>
      </c>
      <c r="CG60" s="150">
        <f>IF(Tabel2[[#This Row],[LPR 4]]&gt;0,1,0)</f>
        <v>0</v>
      </c>
      <c r="CH60" s="150">
        <f>IF(Tabel2[[#This Row],[LPR 5]]&gt;0,1,0)</f>
        <v>0</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0</v>
      </c>
      <c r="CO60" s="22" t="str">
        <f t="shared" si="1"/>
        <v/>
      </c>
      <c r="CP60" s="22" t="str">
        <f t="shared" si="2"/>
        <v/>
      </c>
      <c r="CQ60" s="22" t="str">
        <f t="shared" si="3"/>
        <v/>
      </c>
      <c r="CR60" s="22" t="str">
        <f t="shared" si="4"/>
        <v/>
      </c>
      <c r="CS60" s="22" t="str">
        <f t="shared" si="5"/>
        <v/>
      </c>
    </row>
    <row r="61" spans="1:97" x14ac:dyDescent="0.3">
      <c r="A61" s="22" t="s">
        <v>140</v>
      </c>
      <c r="B61" s="22" t="s">
        <v>778</v>
      </c>
      <c r="D61" s="22" t="s">
        <v>137</v>
      </c>
      <c r="E61" t="s">
        <v>218</v>
      </c>
      <c r="F61" s="22">
        <v>119768</v>
      </c>
      <c r="G61" s="25" t="s">
        <v>147</v>
      </c>
      <c r="H61" s="142">
        <f>Tabel2[[#This Row],[pnt t/m 2021/22]]+Tabel2[[#This Row],[pnt 2022/2023]]</f>
        <v>903.47222222222217</v>
      </c>
      <c r="I61">
        <v>2013</v>
      </c>
      <c r="J61">
        <v>2022</v>
      </c>
      <c r="K61" s="24">
        <f>Tabel2[[#This Row],[ijkdatum]]-Tabel2[[#This Row],[Geboren]]</f>
        <v>9</v>
      </c>
      <c r="L61" s="26">
        <f>Tabel2[[#This Row],[TTL 1]]+Tabel2[[#This Row],[TTL 2]]+Tabel2[[#This Row],[TTL 3]]+Tabel2[[#This Row],[TTL 4]]+Tabel2[[#This Row],[TTL 5]]+Tabel2[[#This Row],[TTL 6]]+Tabel2[[#This Row],[TTL 7]]+Tabel2[[#This Row],[TTL 8]]+Tabel2[[#This Row],[TTL 9]]+Tabel2[[#This Row],[TTL 10]]</f>
        <v>140</v>
      </c>
      <c r="M61" s="157">
        <v>763.47222222222217</v>
      </c>
      <c r="N61">
        <v>6</v>
      </c>
      <c r="O61">
        <v>7</v>
      </c>
      <c r="P61">
        <v>1</v>
      </c>
      <c r="Q61">
        <v>18</v>
      </c>
      <c r="R61">
        <v>100</v>
      </c>
      <c r="S61" s="153">
        <f>SUM(Tabel2[[#This Row],[V 1]]*10+Tabel2[[#This Row],[GT 1]])/Tabel2[[#This Row],[AW 1]]*10+Tabel2[[#This Row],[BONUS 1]]</f>
        <v>140</v>
      </c>
      <c r="U61">
        <v>1</v>
      </c>
      <c r="Y61" s="23">
        <f>SUM(Tabel2[[#This Row],[V 2]]*10+Tabel2[[#This Row],[GT 2]])/Tabel2[[#This Row],[AW 2]]*10+Tabel2[[#This Row],[BONUS 2]]</f>
        <v>0</v>
      </c>
      <c r="AA61">
        <v>1</v>
      </c>
      <c r="AE61" s="23">
        <f>SUM(Tabel2[[#This Row],[V 3]]*10+Tabel2[[#This Row],[GT 3]])/Tabel2[[#This Row],[AW 3]]*10+Tabel2[[#This Row],[BONUS 3]]</f>
        <v>0</v>
      </c>
      <c r="AG61">
        <v>1</v>
      </c>
      <c r="AK61" s="23">
        <f>SUM(Tabel2[[#This Row],[V 4]]*10+Tabel2[[#This Row],[GT 4]])/Tabel2[[#This Row],[AW 4]]*10+Tabel2[[#This Row],[BONUS 4]]</f>
        <v>0</v>
      </c>
      <c r="AM61">
        <v>1</v>
      </c>
      <c r="AQ61" s="23">
        <f>SUM(Tabel2[[#This Row],[V 5]]*10+Tabel2[[#This Row],[GT 5]])/Tabel2[[#This Row],[AW 5]]*10+Tabel2[[#This Row],[BONUS 5]]</f>
        <v>0</v>
      </c>
      <c r="AS61">
        <v>1</v>
      </c>
      <c r="AW61" s="23">
        <f>SUM(Tabel2[[#This Row],[V 6]]*10+Tabel2[[#This Row],[GT 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1" s="22">
        <v>750</v>
      </c>
      <c r="BX61" s="22">
        <f>Tabel2[[#This Row],[Diploma]]-Tabel2[[#This Row],[Uitgeschreven]]</f>
        <v>0</v>
      </c>
      <c r="BY61" s="155" t="str">
        <f>IF(BX61=0,"geen actie",CONCATENATE("diploma uitschrijven: ",BV61," punten"))</f>
        <v>geen actie</v>
      </c>
      <c r="CA61" s="150">
        <f>Tabel2[[#This Row],[pnt t/m 2021/22]]</f>
        <v>763.47222222222217</v>
      </c>
      <c r="CB61" s="150">
        <f>Tabel2[[#This Row],[pnt 2022/2023]]</f>
        <v>140</v>
      </c>
      <c r="CC61" s="150">
        <f t="shared" si="6"/>
        <v>903.47222222222217</v>
      </c>
      <c r="CD61" s="150">
        <f>IF(Tabel2[[#This Row],[LPR 1]]&gt;0,1,0)</f>
        <v>1</v>
      </c>
      <c r="CE61" s="150">
        <f>IF(Tabel2[[#This Row],[LPR 2]]&gt;0,1,0)</f>
        <v>0</v>
      </c>
      <c r="CF61" s="150">
        <f>IF(Tabel2[[#This Row],[LPR 3]]&gt;0,1,0)</f>
        <v>0</v>
      </c>
      <c r="CG61" s="150">
        <f>IF(Tabel2[[#This Row],[LPR 4]]&gt;0,1,0)</f>
        <v>0</v>
      </c>
      <c r="CH61" s="150">
        <f>IF(Tabel2[[#This Row],[LPR 5]]&gt;0,1,0)</f>
        <v>0</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1</v>
      </c>
      <c r="CO61" s="22" t="str">
        <f t="shared" si="1"/>
        <v/>
      </c>
      <c r="CP61" s="22" t="str">
        <f t="shared" si="2"/>
        <v/>
      </c>
      <c r="CQ61" s="22" t="str">
        <f t="shared" si="3"/>
        <v/>
      </c>
      <c r="CR61" s="22" t="str">
        <f t="shared" si="4"/>
        <v/>
      </c>
      <c r="CS61" s="22" t="str">
        <f t="shared" si="5"/>
        <v/>
      </c>
    </row>
    <row r="62" spans="1:97" x14ac:dyDescent="0.3">
      <c r="A62" s="22" t="s">
        <v>135</v>
      </c>
      <c r="B62" s="22" t="s">
        <v>778</v>
      </c>
      <c r="D62" s="22" t="s">
        <v>784</v>
      </c>
      <c r="E62" t="s">
        <v>781</v>
      </c>
      <c r="F62" s="22">
        <v>120611</v>
      </c>
      <c r="G62" s="25" t="s">
        <v>369</v>
      </c>
      <c r="H62" s="142">
        <f>Tabel2[[#This Row],[pnt t/m 2021/22]]+Tabel2[[#This Row],[pnt 2022/2023]]</f>
        <v>149</v>
      </c>
      <c r="I62">
        <v>2009</v>
      </c>
      <c r="J62">
        <v>2023</v>
      </c>
      <c r="K62" s="24">
        <f>Tabel2[[#This Row],[ijkdatum]]-Tabel2[[#This Row],[Geboren]]</f>
        <v>14</v>
      </c>
      <c r="L62" s="26">
        <f>Tabel2[[#This Row],[TTL 1]]+Tabel2[[#This Row],[TTL 2]]+Tabel2[[#This Row],[TTL 3]]+Tabel2[[#This Row],[TTL 4]]+Tabel2[[#This Row],[TTL 5]]+Tabel2[[#This Row],[TTL 6]]+Tabel2[[#This Row],[TTL 7]]+Tabel2[[#This Row],[TTL 8]]+Tabel2[[#This Row],[TTL 9]]+Tabel2[[#This Row],[TTL 10]]</f>
        <v>149</v>
      </c>
      <c r="M62" s="141"/>
      <c r="N62">
        <v>3</v>
      </c>
      <c r="O62">
        <v>10</v>
      </c>
      <c r="P62">
        <v>10</v>
      </c>
      <c r="Q62">
        <v>49</v>
      </c>
      <c r="S62" s="23">
        <f>SUM(Tabel2[[#This Row],[V 1]]*10+Tabel2[[#This Row],[GT 1]])/Tabel2[[#This Row],[AW 1]]*10+Tabel2[[#This Row],[BONUS 1]]</f>
        <v>149</v>
      </c>
      <c r="U62">
        <v>1</v>
      </c>
      <c r="Y62" s="23">
        <f>SUM(Tabel2[[#This Row],[V 2]]*10+Tabel2[[#This Row],[GT 2]])/Tabel2[[#This Row],[AW 2]]*10+Tabel2[[#This Row],[BONUS 2]]</f>
        <v>0</v>
      </c>
      <c r="AA62">
        <v>1</v>
      </c>
      <c r="AE62" s="23">
        <f>SUM(Tabel2[[#This Row],[V 3]]*10+Tabel2[[#This Row],[GT 3]])/Tabel2[[#This Row],[AW 3]]*10+Tabel2[[#This Row],[BONUS 3]]</f>
        <v>0</v>
      </c>
      <c r="AG62">
        <v>1</v>
      </c>
      <c r="AK62" s="23">
        <f>SUM(Tabel2[[#This Row],[V 4]]*10+Tabel2[[#This Row],[GT 4]])/Tabel2[[#This Row],[AW 4]]*10+Tabel2[[#This Row],[BONUS 4]]</f>
        <v>0</v>
      </c>
      <c r="AM62">
        <v>1</v>
      </c>
      <c r="AQ62" s="23">
        <f>SUM(Tabel2[[#This Row],[V 5]]*10+Tabel2[[#This Row],[GT 5]])/Tabel2[[#This Row],[AW 5]]*10+Tabel2[[#This Row],[BONUS 5]]</f>
        <v>0</v>
      </c>
      <c r="AS62">
        <v>1</v>
      </c>
      <c r="AW62" s="23">
        <f>SUM(Tabel2[[#This Row],[V 6]]*10+Tabel2[[#This Row],[GT 6]])/Tabel2[[#This Row],[AW 6]]*10+Tabel2[[#This Row],[BONUS 6]]</f>
        <v>0</v>
      </c>
      <c r="AY62">
        <v>1</v>
      </c>
      <c r="BC62" s="23">
        <f>SUM(Tabel2[[#This Row],[V 7]]*10+Tabel2[[#This Row],[GT 7]])/Tabel2[[#This Row],[AW 7]]*10+Tabel2[[#This Row],[BONUS 7]]</f>
        <v>0</v>
      </c>
      <c r="BE62">
        <v>1</v>
      </c>
      <c r="BI62" s="23">
        <f>SUM(Tabel2[[#This Row],[V 8]]*10+Tabel2[[#This Row],[GT 8]])/Tabel2[[#This Row],[AW 8]]*10+Tabel2[[#This Row],[BONUS 8]]</f>
        <v>0</v>
      </c>
      <c r="BK62">
        <v>1</v>
      </c>
      <c r="BO62" s="2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30">
        <f>Tabel2[[#This Row],[Diploma]]-Tabel2[[#This Row],[Uitgeschreven]]</f>
        <v>0</v>
      </c>
      <c r="BY62" s="2" t="str">
        <f>IF(BX62=0,"geen actie",CONCATENATE("diploma uitschrijven: ",BV62," punten"))</f>
        <v>geen actie</v>
      </c>
      <c r="CA62" s="150">
        <f>Tabel2[[#This Row],[pnt t/m 2021/22]]</f>
        <v>0</v>
      </c>
      <c r="CB62" s="150">
        <f>Tabel2[[#This Row],[pnt 2022/2023]]</f>
        <v>149</v>
      </c>
      <c r="CC62" s="150">
        <f t="shared" si="6"/>
        <v>149</v>
      </c>
      <c r="CD62" s="150">
        <f>IF(Tabel2[[#This Row],[LPR 1]]&gt;0,1,0)</f>
        <v>1</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1</v>
      </c>
      <c r="CO62" s="22" t="str">
        <f t="shared" si="1"/>
        <v/>
      </c>
      <c r="CP62" s="22" t="str">
        <f t="shared" si="2"/>
        <v/>
      </c>
      <c r="CQ62" s="22" t="str">
        <f t="shared" si="3"/>
        <v/>
      </c>
      <c r="CR62" s="22" t="str">
        <f t="shared" si="4"/>
        <v/>
      </c>
      <c r="CS62" s="22" t="str">
        <f t="shared" si="5"/>
        <v/>
      </c>
    </row>
    <row r="63" spans="1:97" x14ac:dyDescent="0.3">
      <c r="A63" s="22" t="s">
        <v>135</v>
      </c>
      <c r="B63" s="22" t="s">
        <v>778</v>
      </c>
      <c r="D63" s="22" t="s">
        <v>137</v>
      </c>
      <c r="E63" t="s">
        <v>219</v>
      </c>
      <c r="F63" s="22">
        <v>116663</v>
      </c>
      <c r="G63" s="25" t="s">
        <v>202</v>
      </c>
      <c r="H63" s="142">
        <f>Tabel2[[#This Row],[pnt t/m 2021/22]]+Tabel2[[#This Row],[pnt 2022/2023]]</f>
        <v>396.7460317460318</v>
      </c>
      <c r="I63">
        <v>2009</v>
      </c>
      <c r="J63">
        <v>2022</v>
      </c>
      <c r="K63" s="24">
        <f>Tabel2[[#This Row],[ijkdatum]]-Tabel2[[#This Row],[Geboren]]</f>
        <v>13</v>
      </c>
      <c r="L63" s="26">
        <f>Tabel2[[#This Row],[TTL 1]]+Tabel2[[#This Row],[TTL 2]]+Tabel2[[#This Row],[TTL 3]]+Tabel2[[#This Row],[TTL 4]]+Tabel2[[#This Row],[TTL 5]]+Tabel2[[#This Row],[TTL 6]]+Tabel2[[#This Row],[TTL 7]]+Tabel2[[#This Row],[TTL 8]]+Tabel2[[#This Row],[TTL 9]]+Tabel2[[#This Row],[TTL 10]]</f>
        <v>0</v>
      </c>
      <c r="M63" s="141">
        <v>396.7460317460318</v>
      </c>
      <c r="O63">
        <v>1</v>
      </c>
      <c r="S63" s="23">
        <f>SUM(Tabel2[[#This Row],[V 1]]*10+Tabel2[[#This Row],[GT 1]])/Tabel2[[#This Row],[AW 1]]*10+Tabel2[[#This Row],[BONUS 1]]</f>
        <v>0</v>
      </c>
      <c r="U63">
        <v>1</v>
      </c>
      <c r="Y63" s="23">
        <f>SUM(Tabel2[[#This Row],[V 2]]*10+Tabel2[[#This Row],[GT 2]])/Tabel2[[#This Row],[AW 2]]*10+Tabel2[[#This Row],[BONUS 2]]</f>
        <v>0</v>
      </c>
      <c r="AA63">
        <v>1</v>
      </c>
      <c r="AE63" s="23">
        <f>SUM(Tabel2[[#This Row],[V 3]]*10+Tabel2[[#This Row],[GT 3]])/Tabel2[[#This Row],[AW 3]]*10+Tabel2[[#This Row],[BONUS 3]]</f>
        <v>0</v>
      </c>
      <c r="AG63">
        <v>1</v>
      </c>
      <c r="AK63" s="23">
        <f>SUM(Tabel2[[#This Row],[V 4]]*10+Tabel2[[#This Row],[GT 4]])/Tabel2[[#This Row],[AW 4]]*10+Tabel2[[#This Row],[BONUS 4]]</f>
        <v>0</v>
      </c>
      <c r="AM63">
        <v>1</v>
      </c>
      <c r="AQ63" s="23">
        <f>SUM(Tabel2[[#This Row],[V 5]]*10+Tabel2[[#This Row],[GT 5]])/Tabel2[[#This Row],[AW 5]]*10+Tabel2[[#This Row],[BONUS 5]]</f>
        <v>0</v>
      </c>
      <c r="AS63">
        <v>1</v>
      </c>
      <c r="AW63" s="23">
        <f>SUM(Tabel2[[#This Row],[V 6]]*10+Tabel2[[#This Row],[GT 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3" s="22">
        <v>250</v>
      </c>
      <c r="BX63" s="30">
        <f>Tabel2[[#This Row],[Diploma]]-Tabel2[[#This Row],[Uitgeschreven]]</f>
        <v>0</v>
      </c>
      <c r="BY63" s="2" t="str">
        <f>IF(BX63=0,"geen actie",CONCATENATE("diploma uitschrijven: ",BV63," punten"))</f>
        <v>geen actie</v>
      </c>
      <c r="CA63" s="150">
        <f>Tabel2[[#This Row],[pnt t/m 2021/22]]</f>
        <v>396.7460317460318</v>
      </c>
      <c r="CB63" s="150">
        <f>Tabel2[[#This Row],[pnt 2022/2023]]</f>
        <v>0</v>
      </c>
      <c r="CC63" s="150">
        <f t="shared" si="6"/>
        <v>396.7460317460318</v>
      </c>
      <c r="CD63" s="150">
        <f>IF(Tabel2[[#This Row],[LPR 1]]&gt;0,1,0)</f>
        <v>0</v>
      </c>
      <c r="CE63" s="150">
        <f>IF(Tabel2[[#This Row],[LPR 2]]&gt;0,1,0)</f>
        <v>0</v>
      </c>
      <c r="CF63" s="150">
        <f>IF(Tabel2[[#This Row],[LPR 3]]&gt;0,1,0)</f>
        <v>0</v>
      </c>
      <c r="CG63" s="150">
        <f>IF(Tabel2[[#This Row],[LPR 4]]&gt;0,1,0)</f>
        <v>0</v>
      </c>
      <c r="CH63" s="150">
        <f>IF(Tabel2[[#This Row],[LPR 5]]&gt;0,1,0)</f>
        <v>0</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0</v>
      </c>
      <c r="CO63" s="22" t="str">
        <f t="shared" si="1"/>
        <v/>
      </c>
      <c r="CP63" s="22" t="str">
        <f t="shared" si="2"/>
        <v/>
      </c>
      <c r="CQ63" s="22" t="str">
        <f t="shared" si="3"/>
        <v/>
      </c>
      <c r="CR63" s="22" t="str">
        <f t="shared" si="4"/>
        <v/>
      </c>
      <c r="CS63" s="22" t="str">
        <f t="shared" si="5"/>
        <v/>
      </c>
    </row>
    <row r="64" spans="1:97" x14ac:dyDescent="0.3">
      <c r="A64" s="22" t="s">
        <v>143</v>
      </c>
      <c r="B64" s="22" t="s">
        <v>778</v>
      </c>
      <c r="D64" s="22" t="s">
        <v>137</v>
      </c>
      <c r="E64" s="162" t="s">
        <v>221</v>
      </c>
      <c r="F64" s="22">
        <v>118094</v>
      </c>
      <c r="G64" s="25" t="s">
        <v>161</v>
      </c>
      <c r="H64" s="23">
        <f>Tabel2[[#This Row],[pnt t/m 2021/22]]+Tabel2[[#This Row],[pnt 2022/2023]]</f>
        <v>87.5</v>
      </c>
      <c r="I64">
        <v>2008</v>
      </c>
      <c r="J64">
        <v>2022</v>
      </c>
      <c r="K64" s="24">
        <f>Tabel2[[#This Row],[ijkdatum]]-Tabel2[[#This Row],[Geboren]]</f>
        <v>14</v>
      </c>
      <c r="L64" s="26">
        <f>Tabel2[[#This Row],[TTL 1]]+Tabel2[[#This Row],[TTL 2]]+Tabel2[[#This Row],[TTL 3]]+Tabel2[[#This Row],[TTL 4]]+Tabel2[[#This Row],[TTL 5]]+Tabel2[[#This Row],[TTL 6]]+Tabel2[[#This Row],[TTL 7]]+Tabel2[[#This Row],[TTL 8]]+Tabel2[[#This Row],[TTL 9]]+Tabel2[[#This Row],[TTL 10]]</f>
        <v>0</v>
      </c>
      <c r="M64" s="153">
        <v>87.5</v>
      </c>
      <c r="O64">
        <v>1</v>
      </c>
      <c r="S64" s="153">
        <f>SUM(Tabel2[[#This Row],[V 1]]*10+Tabel2[[#This Row],[GT 1]])/Tabel2[[#This Row],[AW 1]]*10+Tabel2[[#This Row],[BONUS 1]]</f>
        <v>0</v>
      </c>
      <c r="U64">
        <v>1</v>
      </c>
      <c r="Y64" s="153">
        <f>SUM(Tabel2[[#This Row],[V 2]]*10+Tabel2[[#This Row],[GT 2]])/Tabel2[[#This Row],[AW 2]]*10+Tabel2[[#This Row],[BONUS 2]]</f>
        <v>0</v>
      </c>
      <c r="AA64">
        <v>1</v>
      </c>
      <c r="AE64" s="153">
        <f>SUM(Tabel2[[#This Row],[V 3]]*10+Tabel2[[#This Row],[GT 3]])/Tabel2[[#This Row],[AW 3]]*10+Tabel2[[#This Row],[BONUS 3]]</f>
        <v>0</v>
      </c>
      <c r="AG64">
        <v>1</v>
      </c>
      <c r="AK64" s="153">
        <f>SUM(Tabel2[[#This Row],[V 4]]*10+Tabel2[[#This Row],[GT 4]])/Tabel2[[#This Row],[AW 4]]*10+Tabel2[[#This Row],[BONUS 4]]</f>
        <v>0</v>
      </c>
      <c r="AM64">
        <v>1</v>
      </c>
      <c r="AQ64" s="153">
        <f>SUM(Tabel2[[#This Row],[V 5]]*10+Tabel2[[#This Row],[GT 5]])/Tabel2[[#This Row],[AW 5]]*10+Tabel2[[#This Row],[BONUS 5]]</f>
        <v>0</v>
      </c>
      <c r="AS64">
        <v>1</v>
      </c>
      <c r="AW64" s="153">
        <f>SUM(Tabel2[[#This Row],[V 6]]*10+Tabel2[[#This Row],[GT 6]])/Tabel2[[#This Row],[AW 6]]*10+Tabel2[[#This Row],[BONUS 6]]</f>
        <v>0</v>
      </c>
      <c r="AY64">
        <v>1</v>
      </c>
      <c r="BC64" s="153">
        <f>SUM(Tabel2[[#This Row],[V 7]]*10+Tabel2[[#This Row],[GT 7]])/Tabel2[[#This Row],[AW 7]]*10+Tabel2[[#This Row],[BONUS 7]]</f>
        <v>0</v>
      </c>
      <c r="BE64">
        <v>1</v>
      </c>
      <c r="BI64" s="153">
        <f>SUM(Tabel2[[#This Row],[V 8]]*10+Tabel2[[#This Row],[GT 8]])/Tabel2[[#This Row],[AW 8]]*10+Tabel2[[#This Row],[BONUS 8]]</f>
        <v>0</v>
      </c>
      <c r="BK64">
        <v>1</v>
      </c>
      <c r="BO64" s="15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4" s="22">
        <v>0</v>
      </c>
      <c r="BX64" s="22">
        <f>Tabel2[[#This Row],[Diploma]]-Tabel2[[#This Row],[Uitgeschreven]]</f>
        <v>0</v>
      </c>
      <c r="BY64" s="155" t="str">
        <f>IF(BX64=0,"geen actie",CONCATENATE("diploma uitschrijven: ",BV64," punten"))</f>
        <v>geen actie</v>
      </c>
      <c r="CA64" s="150">
        <f>Tabel2[[#This Row],[pnt t/m 2021/22]]</f>
        <v>87.5</v>
      </c>
      <c r="CB64" s="150">
        <f>Tabel2[[#This Row],[pnt 2022/2023]]</f>
        <v>0</v>
      </c>
      <c r="CC64" s="150">
        <f t="shared" si="6"/>
        <v>87.5</v>
      </c>
      <c r="CD64" s="150">
        <f>IF(Tabel2[[#This Row],[LPR 1]]&gt;0,1,0)</f>
        <v>0</v>
      </c>
      <c r="CE64" s="150">
        <f>IF(Tabel2[[#This Row],[LPR 2]]&gt;0,1,0)</f>
        <v>0</v>
      </c>
      <c r="CF64" s="150">
        <f>IF(Tabel2[[#This Row],[LPR 3]]&gt;0,1,0)</f>
        <v>0</v>
      </c>
      <c r="CG64" s="150">
        <f>IF(Tabel2[[#This Row],[LPR 4]]&gt;0,1,0)</f>
        <v>0</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0</v>
      </c>
      <c r="CO64" s="22" t="str">
        <f t="shared" si="1"/>
        <v/>
      </c>
      <c r="CP64" s="22" t="str">
        <f t="shared" si="2"/>
        <v/>
      </c>
      <c r="CQ64" s="22" t="str">
        <f t="shared" si="3"/>
        <v/>
      </c>
      <c r="CR64" s="22" t="str">
        <f t="shared" si="4"/>
        <v/>
      </c>
      <c r="CS64" s="22" t="str">
        <f t="shared" si="5"/>
        <v/>
      </c>
    </row>
    <row r="65" spans="1:97" x14ac:dyDescent="0.3">
      <c r="A65" s="22" t="s">
        <v>143</v>
      </c>
      <c r="B65" s="22" t="s">
        <v>779</v>
      </c>
      <c r="D65" s="22" t="s">
        <v>137</v>
      </c>
      <c r="E65" t="s">
        <v>222</v>
      </c>
      <c r="F65" s="22">
        <v>120516</v>
      </c>
      <c r="G65" s="25" t="s">
        <v>180</v>
      </c>
      <c r="H65" s="23">
        <f>Tabel2[[#This Row],[pnt t/m 2021/22]]+Tabel2[[#This Row],[pnt 2022/2023]]</f>
        <v>21.25</v>
      </c>
      <c r="I65">
        <v>2007</v>
      </c>
      <c r="J65">
        <v>2022</v>
      </c>
      <c r="K65" s="24">
        <f>Tabel2[[#This Row],[ijkdatum]]-Tabel2[[#This Row],[Geboren]]</f>
        <v>15</v>
      </c>
      <c r="L65" s="26">
        <f>Tabel2[[#This Row],[TTL 1]]+Tabel2[[#This Row],[TTL 2]]+Tabel2[[#This Row],[TTL 3]]+Tabel2[[#This Row],[TTL 4]]+Tabel2[[#This Row],[TTL 5]]+Tabel2[[#This Row],[TTL 6]]+Tabel2[[#This Row],[TTL 7]]+Tabel2[[#This Row],[TTL 8]]+Tabel2[[#This Row],[TTL 9]]+Tabel2[[#This Row],[TTL 10]]</f>
        <v>0</v>
      </c>
      <c r="M65" s="153">
        <v>21.25</v>
      </c>
      <c r="O65">
        <v>1</v>
      </c>
      <c r="S65" s="153">
        <f>SUM(Tabel2[[#This Row],[V 1]]*10+Tabel2[[#This Row],[GT 1]])/Tabel2[[#This Row],[AW 1]]*10+Tabel2[[#This Row],[BONUS 1]]</f>
        <v>0</v>
      </c>
      <c r="U65">
        <v>1</v>
      </c>
      <c r="Y65" s="153">
        <f>SUM(Tabel2[[#This Row],[V 2]]*10+Tabel2[[#This Row],[GT 2]])/Tabel2[[#This Row],[AW 2]]*10+Tabel2[[#This Row],[BONUS 2]]</f>
        <v>0</v>
      </c>
      <c r="AA65">
        <v>1</v>
      </c>
      <c r="AE65" s="153">
        <f>SUM(Tabel2[[#This Row],[V 3]]*10+Tabel2[[#This Row],[GT 3]])/Tabel2[[#This Row],[AW 3]]*10+Tabel2[[#This Row],[BONUS 3]]</f>
        <v>0</v>
      </c>
      <c r="AG65">
        <v>1</v>
      </c>
      <c r="AK65" s="153">
        <f>SUM(Tabel2[[#This Row],[V 4]]*10+Tabel2[[#This Row],[GT 4]])/Tabel2[[#This Row],[AW 4]]*10+Tabel2[[#This Row],[BONUS 4]]</f>
        <v>0</v>
      </c>
      <c r="AM65">
        <v>1</v>
      </c>
      <c r="AQ65" s="153">
        <f>SUM(Tabel2[[#This Row],[V 5]]*10+Tabel2[[#This Row],[GT 5]])/Tabel2[[#This Row],[AW 5]]*10+Tabel2[[#This Row],[BONUS 5]]</f>
        <v>0</v>
      </c>
      <c r="AS65">
        <v>1</v>
      </c>
      <c r="AW65" s="153">
        <f>SUM(Tabel2[[#This Row],[V 6]]*10+Tabel2[[#This Row],[GT 6]])/Tabel2[[#This Row],[AW 6]]*10+Tabel2[[#This Row],[BONUS 6]]</f>
        <v>0</v>
      </c>
      <c r="AY65">
        <v>1</v>
      </c>
      <c r="BC65" s="153">
        <f>SUM(Tabel2[[#This Row],[V 7]]*10+Tabel2[[#This Row],[GT 7]])/Tabel2[[#This Row],[AW 7]]*10+Tabel2[[#This Row],[BONUS 7]]</f>
        <v>0</v>
      </c>
      <c r="BE65">
        <v>1</v>
      </c>
      <c r="BI65" s="153">
        <f>SUM(Tabel2[[#This Row],[V 8]]*10+Tabel2[[#This Row],[GT 8]])/Tabel2[[#This Row],[AW 8]]*10+Tabel2[[#This Row],[BONUS 8]]</f>
        <v>0</v>
      </c>
      <c r="BK65">
        <v>1</v>
      </c>
      <c r="BO65" s="15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5" s="22">
        <v>0</v>
      </c>
      <c r="BX65" s="22">
        <f>Tabel2[[#This Row],[Diploma]]-Tabel2[[#This Row],[Uitgeschreven]]</f>
        <v>0</v>
      </c>
      <c r="BY65" s="155" t="str">
        <f>IF(BX65=0,"geen actie",CONCATENATE("diploma uitschrijven: ",BV65," punten"))</f>
        <v>geen actie</v>
      </c>
      <c r="CA65" s="150">
        <f>Tabel2[[#This Row],[pnt t/m 2021/22]]</f>
        <v>21.25</v>
      </c>
      <c r="CB65" s="150">
        <f>Tabel2[[#This Row],[pnt 2022/2023]]</f>
        <v>0</v>
      </c>
      <c r="CC65" s="150">
        <f t="shared" si="6"/>
        <v>21.25</v>
      </c>
      <c r="CD65" s="150">
        <f>IF(Tabel2[[#This Row],[LPR 1]]&gt;0,1,0)</f>
        <v>0</v>
      </c>
      <c r="CE65" s="150">
        <f>IF(Tabel2[[#This Row],[LPR 2]]&gt;0,1,0)</f>
        <v>0</v>
      </c>
      <c r="CF65" s="150">
        <f>IF(Tabel2[[#This Row],[LPR 3]]&gt;0,1,0)</f>
        <v>0</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0</v>
      </c>
      <c r="CO65" s="22" t="str">
        <f t="shared" si="1"/>
        <v/>
      </c>
      <c r="CP65" s="22" t="str">
        <f t="shared" si="2"/>
        <v/>
      </c>
      <c r="CQ65" s="22" t="str">
        <f t="shared" si="3"/>
        <v/>
      </c>
      <c r="CR65" s="22" t="str">
        <f t="shared" si="4"/>
        <v/>
      </c>
      <c r="CS65" s="22" t="str">
        <f t="shared" si="5"/>
        <v/>
      </c>
    </row>
    <row r="66" spans="1:97" x14ac:dyDescent="0.3">
      <c r="A66" s="22" t="s">
        <v>145</v>
      </c>
      <c r="B66" s="22" t="s">
        <v>778</v>
      </c>
      <c r="D66" s="22" t="s">
        <v>137</v>
      </c>
      <c r="E66" t="s">
        <v>223</v>
      </c>
      <c r="F66" s="22">
        <v>119577</v>
      </c>
      <c r="G66" s="25" t="s">
        <v>149</v>
      </c>
      <c r="H66" s="142">
        <f>Tabel2[[#This Row],[pnt t/m 2021/22]]+Tabel2[[#This Row],[pnt 2022/2023]]</f>
        <v>577.20779220779218</v>
      </c>
      <c r="I66">
        <v>2010</v>
      </c>
      <c r="J66">
        <v>2022</v>
      </c>
      <c r="K66" s="24">
        <f>Tabel2[[#This Row],[ijkdatum]]-Tabel2[[#This Row],[Geboren]]</f>
        <v>12</v>
      </c>
      <c r="L66" s="26">
        <f>Tabel2[[#This Row],[TTL 1]]+Tabel2[[#This Row],[TTL 2]]+Tabel2[[#This Row],[TTL 3]]+Tabel2[[#This Row],[TTL 4]]+Tabel2[[#This Row],[TTL 5]]+Tabel2[[#This Row],[TTL 6]]+Tabel2[[#This Row],[TTL 7]]+Tabel2[[#This Row],[TTL 8]]+Tabel2[[#This Row],[TTL 9]]+Tabel2[[#This Row],[TTL 10]]</f>
        <v>0</v>
      </c>
      <c r="M66" s="141">
        <v>577.20779220779218</v>
      </c>
      <c r="O66">
        <v>1</v>
      </c>
      <c r="S66" s="23">
        <f>SUM(Tabel2[[#This Row],[V 1]]*10+Tabel2[[#This Row],[GT 1]])/Tabel2[[#This Row],[AW 1]]*10+Tabel2[[#This Row],[BONUS 1]]</f>
        <v>0</v>
      </c>
      <c r="U66">
        <v>1</v>
      </c>
      <c r="Y66" s="23">
        <f>SUM(Tabel2[[#This Row],[V 2]]*10+Tabel2[[#This Row],[GT 2]])/Tabel2[[#This Row],[AW 2]]*10+Tabel2[[#This Row],[BONUS 2]]</f>
        <v>0</v>
      </c>
      <c r="AA66">
        <v>1</v>
      </c>
      <c r="AE66" s="23">
        <f>SUM(Tabel2[[#This Row],[V 3]]*10+Tabel2[[#This Row],[GT 3]])/Tabel2[[#This Row],[AW 3]]*10+Tabel2[[#This Row],[BONUS 3]]</f>
        <v>0</v>
      </c>
      <c r="AG66">
        <v>1</v>
      </c>
      <c r="AK66" s="23">
        <f>SUM(Tabel2[[#This Row],[V 4]]*10+Tabel2[[#This Row],[GT 4]])/Tabel2[[#This Row],[AW 4]]*10+Tabel2[[#This Row],[BONUS 4]]</f>
        <v>0</v>
      </c>
      <c r="AM66">
        <v>1</v>
      </c>
      <c r="AQ66" s="23">
        <f>SUM(Tabel2[[#This Row],[V 5]]*10+Tabel2[[#This Row],[GT 5]])/Tabel2[[#This Row],[AW 5]]*10+Tabel2[[#This Row],[BONUS 5]]</f>
        <v>0</v>
      </c>
      <c r="AS66">
        <v>1</v>
      </c>
      <c r="AW66" s="23">
        <f>SUM(Tabel2[[#This Row],[V 6]]*10+Tabel2[[#This Row],[GT 6]])/Tabel2[[#This Row],[AW 6]]*10+Tabel2[[#This Row],[BONUS 6]]</f>
        <v>0</v>
      </c>
      <c r="AY66">
        <v>1</v>
      </c>
      <c r="BC66" s="23">
        <f>SUM(Tabel2[[#This Row],[V 7]]*10+Tabel2[[#This Row],[GT 7]])/Tabel2[[#This Row],[AW 7]]*10+Tabel2[[#This Row],[BONUS 7]]</f>
        <v>0</v>
      </c>
      <c r="BE66">
        <v>1</v>
      </c>
      <c r="BI66" s="23">
        <f>SUM(Tabel2[[#This Row],[V 8]]*10+Tabel2[[#This Row],[GT 8]])/Tabel2[[#This Row],[AW 8]]*10+Tabel2[[#This Row],[BONUS 8]]</f>
        <v>0</v>
      </c>
      <c r="BK66">
        <v>1</v>
      </c>
      <c r="BO66" s="23">
        <f>SUM(Tabel2[[#This Row],[V 9]]*10+Tabel2[[#This Row],[GT 9]])/Tabel2[[#This Row],[AW 9]]*10+Tabel2[[#This Row],[BONUS 9]]</f>
        <v>0</v>
      </c>
      <c r="BQ66">
        <v>1</v>
      </c>
      <c r="BU66" s="23">
        <f>SUM(Tabel2[[#This Row],[V 10]]*10+Tabel2[[#This Row],[GT 10]])/Tabel2[[#This Row],[AW 10]]*10+Tabel2[[#This Row],[BONUS 10]]</f>
        <v>0</v>
      </c>
      <c r="BV6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6" s="22">
        <v>500</v>
      </c>
      <c r="BX66" s="30">
        <f>Tabel2[[#This Row],[Diploma]]-Tabel2[[#This Row],[Uitgeschreven]]</f>
        <v>0</v>
      </c>
      <c r="BY66" s="2" t="str">
        <f>IF(BX66=0,"geen actie",CONCATENATE("diploma uitschrijven: ",BV66," punten"))</f>
        <v>geen actie</v>
      </c>
      <c r="CA66" s="150">
        <f>Tabel2[[#This Row],[pnt t/m 2021/22]]</f>
        <v>577.20779220779218</v>
      </c>
      <c r="CB66" s="150">
        <f>Tabel2[[#This Row],[pnt 2022/2023]]</f>
        <v>0</v>
      </c>
      <c r="CC66" s="150">
        <f t="shared" si="6"/>
        <v>577.20779220779218</v>
      </c>
      <c r="CD66" s="150">
        <f>IF(Tabel2[[#This Row],[LPR 1]]&gt;0,1,0)</f>
        <v>0</v>
      </c>
      <c r="CE66" s="150">
        <f>IF(Tabel2[[#This Row],[LPR 2]]&gt;0,1,0)</f>
        <v>0</v>
      </c>
      <c r="CF66" s="150">
        <f>IF(Tabel2[[#This Row],[LPR 3]]&gt;0,1,0)</f>
        <v>0</v>
      </c>
      <c r="CG66" s="150">
        <f>IF(Tabel2[[#This Row],[LPR 4]]&gt;0,1,0)</f>
        <v>0</v>
      </c>
      <c r="CH66" s="150">
        <f>IF(Tabel2[[#This Row],[LPR 5]]&gt;0,1,0)</f>
        <v>0</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0</v>
      </c>
      <c r="CO66" s="22" t="str">
        <f t="shared" si="1"/>
        <v/>
      </c>
      <c r="CP66" s="22" t="str">
        <f t="shared" si="2"/>
        <v/>
      </c>
      <c r="CQ66" s="22" t="str">
        <f t="shared" si="3"/>
        <v/>
      </c>
      <c r="CR66" s="22" t="str">
        <f t="shared" si="4"/>
        <v/>
      </c>
      <c r="CS66" s="22" t="str">
        <f t="shared" si="5"/>
        <v/>
      </c>
    </row>
    <row r="67" spans="1:97" x14ac:dyDescent="0.3">
      <c r="A67" s="22" t="s">
        <v>143</v>
      </c>
      <c r="B67" s="22" t="s">
        <v>778</v>
      </c>
      <c r="D67" s="22" t="s">
        <v>783</v>
      </c>
      <c r="E67" t="s">
        <v>224</v>
      </c>
      <c r="F67" s="22">
        <v>118713</v>
      </c>
      <c r="G67" s="25" t="s">
        <v>147</v>
      </c>
      <c r="H67" s="142">
        <f>Tabel2[[#This Row],[pnt t/m 2021/22]]+Tabel2[[#This Row],[pnt 2022/2023]]</f>
        <v>609.15811965811963</v>
      </c>
      <c r="I67">
        <v>2011</v>
      </c>
      <c r="J67">
        <v>2022</v>
      </c>
      <c r="K67" s="24">
        <f>Tabel2[[#This Row],[ijkdatum]]-Tabel2[[#This Row],[Geboren]]</f>
        <v>11</v>
      </c>
      <c r="L67" s="26">
        <f>Tabel2[[#This Row],[TTL 1]]+Tabel2[[#This Row],[TTL 2]]+Tabel2[[#This Row],[TTL 3]]+Tabel2[[#This Row],[TTL 4]]+Tabel2[[#This Row],[TTL 5]]+Tabel2[[#This Row],[TTL 6]]+Tabel2[[#This Row],[TTL 7]]+Tabel2[[#This Row],[TTL 8]]+Tabel2[[#This Row],[TTL 9]]+Tabel2[[#This Row],[TTL 10]]</f>
        <v>62.5</v>
      </c>
      <c r="M67" s="141">
        <v>546.65811965811963</v>
      </c>
      <c r="N67">
        <v>6</v>
      </c>
      <c r="O67">
        <v>8</v>
      </c>
      <c r="P67">
        <v>3</v>
      </c>
      <c r="Q67">
        <v>20</v>
      </c>
      <c r="S67" s="23">
        <f>SUM(Tabel2[[#This Row],[V 1]]*10+Tabel2[[#This Row],[GT 1]])/Tabel2[[#This Row],[AW 1]]*10+Tabel2[[#This Row],[BONUS 1]]</f>
        <v>62.5</v>
      </c>
      <c r="U67">
        <v>1</v>
      </c>
      <c r="Y67" s="23">
        <f>SUM(Tabel2[[#This Row],[V 2]]*10+Tabel2[[#This Row],[GT 2]])/Tabel2[[#This Row],[AW 2]]*10+Tabel2[[#This Row],[BONUS 2]]</f>
        <v>0</v>
      </c>
      <c r="AA67">
        <v>1</v>
      </c>
      <c r="AE67" s="23">
        <f>SUM(Tabel2[[#This Row],[V 3]]*10+Tabel2[[#This Row],[GT 3]])/Tabel2[[#This Row],[AW 3]]*10+Tabel2[[#This Row],[BONUS 3]]</f>
        <v>0</v>
      </c>
      <c r="AG67">
        <v>1</v>
      </c>
      <c r="AK67" s="23">
        <f>SUM(Tabel2[[#This Row],[V 4]]*10+Tabel2[[#This Row],[GT 4]])/Tabel2[[#This Row],[AW 4]]*10+Tabel2[[#This Row],[BONUS 4]]</f>
        <v>0</v>
      </c>
      <c r="AM67">
        <v>1</v>
      </c>
      <c r="AQ67" s="23">
        <f>SUM(Tabel2[[#This Row],[V 5]]*10+Tabel2[[#This Row],[GT 5]])/Tabel2[[#This Row],[AW 5]]*10+Tabel2[[#This Row],[BONUS 5]]</f>
        <v>0</v>
      </c>
      <c r="AS67">
        <v>1</v>
      </c>
      <c r="AW67" s="23">
        <f>SUM(Tabel2[[#This Row],[V 6]]*10+Tabel2[[#This Row],[GT 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7" s="22">
        <v>500</v>
      </c>
      <c r="BX67" s="30">
        <f>Tabel2[[#This Row],[Diploma]]-Tabel2[[#This Row],[Uitgeschreven]]</f>
        <v>0</v>
      </c>
      <c r="BY67" s="2" t="str">
        <f>IF(BX67=0,"geen actie",CONCATENATE("diploma uitschrijven: ",BV67," punten"))</f>
        <v>geen actie</v>
      </c>
      <c r="CA67" s="150">
        <f>Tabel2[[#This Row],[pnt t/m 2021/22]]</f>
        <v>546.65811965811963</v>
      </c>
      <c r="CB67" s="150">
        <f>Tabel2[[#This Row],[pnt 2022/2023]]</f>
        <v>62.5</v>
      </c>
      <c r="CC67" s="150">
        <f t="shared" si="6"/>
        <v>609.15811965811963</v>
      </c>
      <c r="CD67" s="150">
        <f>IF(Tabel2[[#This Row],[LPR 1]]&gt;0,1,0)</f>
        <v>1</v>
      </c>
      <c r="CE67" s="150">
        <f>IF(Tabel2[[#This Row],[LPR 2]]&gt;0,1,0)</f>
        <v>0</v>
      </c>
      <c r="CF67" s="150">
        <f>IF(Tabel2[[#This Row],[LPR 3]]&gt;0,1,0)</f>
        <v>0</v>
      </c>
      <c r="CG67" s="150">
        <f>IF(Tabel2[[#This Row],[LPR 4]]&gt;0,1,0)</f>
        <v>0</v>
      </c>
      <c r="CH67" s="150">
        <f>IF(Tabel2[[#This Row],[LPR 5]]&gt;0,1,0)</f>
        <v>0</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1</v>
      </c>
      <c r="CO67" s="22" t="str">
        <f t="shared" si="1"/>
        <v/>
      </c>
      <c r="CP67" s="22" t="str">
        <f t="shared" si="2"/>
        <v/>
      </c>
      <c r="CQ67" s="22" t="str">
        <f t="shared" si="3"/>
        <v/>
      </c>
      <c r="CR67" s="22" t="str">
        <f t="shared" si="4"/>
        <v/>
      </c>
      <c r="CS67" s="22" t="str">
        <f t="shared" si="5"/>
        <v/>
      </c>
    </row>
    <row r="68" spans="1:97" x14ac:dyDescent="0.3">
      <c r="A68" s="22" t="s">
        <v>135</v>
      </c>
      <c r="B68" s="22" t="s">
        <v>778</v>
      </c>
      <c r="D68" s="22" t="s">
        <v>137</v>
      </c>
      <c r="E68" t="s">
        <v>225</v>
      </c>
      <c r="F68" s="22">
        <v>118747</v>
      </c>
      <c r="G68" s="25" t="s">
        <v>182</v>
      </c>
      <c r="H68" s="142">
        <f>Tabel2[[#This Row],[pnt t/m 2021/22]]+Tabel2[[#This Row],[pnt 2022/2023]]</f>
        <v>178.75</v>
      </c>
      <c r="I68">
        <v>2010</v>
      </c>
      <c r="J68">
        <v>2022</v>
      </c>
      <c r="K68" s="24">
        <f>Tabel2[[#This Row],[ijkdatum]]-Tabel2[[#This Row],[Geboren]]</f>
        <v>12</v>
      </c>
      <c r="L68" s="26">
        <f>Tabel2[[#This Row],[TTL 1]]+Tabel2[[#This Row],[TTL 2]]+Tabel2[[#This Row],[TTL 3]]+Tabel2[[#This Row],[TTL 4]]+Tabel2[[#This Row],[TTL 5]]+Tabel2[[#This Row],[TTL 6]]+Tabel2[[#This Row],[TTL 7]]+Tabel2[[#This Row],[TTL 8]]+Tabel2[[#This Row],[TTL 9]]+Tabel2[[#This Row],[TTL 10]]</f>
        <v>0</v>
      </c>
      <c r="M68" s="141">
        <v>178.75</v>
      </c>
      <c r="O68">
        <v>1</v>
      </c>
      <c r="S68" s="23">
        <f>SUM(Tabel2[[#This Row],[V 1]]*10+Tabel2[[#This Row],[GT 1]])/Tabel2[[#This Row],[AW 1]]*10+Tabel2[[#This Row],[BONUS 1]]</f>
        <v>0</v>
      </c>
      <c r="U68">
        <v>1</v>
      </c>
      <c r="Y68" s="23">
        <f>SUM(Tabel2[[#This Row],[V 2]]*10+Tabel2[[#This Row],[GT 2]])/Tabel2[[#This Row],[AW 2]]*10+Tabel2[[#This Row],[BONUS 2]]</f>
        <v>0</v>
      </c>
      <c r="AA68">
        <v>1</v>
      </c>
      <c r="AE68" s="23">
        <f>SUM(Tabel2[[#This Row],[V 3]]*10+Tabel2[[#This Row],[GT 3]])/Tabel2[[#This Row],[AW 3]]*10+Tabel2[[#This Row],[BONUS 3]]</f>
        <v>0</v>
      </c>
      <c r="AG68">
        <v>1</v>
      </c>
      <c r="AK68" s="23">
        <f>SUM(Tabel2[[#This Row],[V 4]]*10+Tabel2[[#This Row],[GT 4]])/Tabel2[[#This Row],[AW 4]]*10+Tabel2[[#This Row],[BONUS 4]]</f>
        <v>0</v>
      </c>
      <c r="AM68">
        <v>1</v>
      </c>
      <c r="AQ68" s="23">
        <f>SUM(Tabel2[[#This Row],[V 5]]*10+Tabel2[[#This Row],[GT 5]])/Tabel2[[#This Row],[AW 5]]*10+Tabel2[[#This Row],[BONUS 5]]</f>
        <v>0</v>
      </c>
      <c r="AS68">
        <v>1</v>
      </c>
      <c r="AW68" s="23">
        <f>SUM(Tabel2[[#This Row],[V 6]]*10+Tabel2[[#This Row],[GT 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8" s="22">
        <v>0</v>
      </c>
      <c r="BX68" s="30">
        <f>Tabel2[[#This Row],[Diploma]]-Tabel2[[#This Row],[Uitgeschreven]]</f>
        <v>0</v>
      </c>
      <c r="BY68" s="2" t="str">
        <f>IF(BX68=0,"geen actie",CONCATENATE("diploma uitschrijven: ",BV68," punten"))</f>
        <v>geen actie</v>
      </c>
      <c r="CA68" s="150">
        <f>Tabel2[[#This Row],[pnt t/m 2021/22]]</f>
        <v>178.75</v>
      </c>
      <c r="CB68" s="150">
        <f>Tabel2[[#This Row],[pnt 2022/2023]]</f>
        <v>0</v>
      </c>
      <c r="CC68" s="150">
        <f t="shared" si="6"/>
        <v>178.75</v>
      </c>
      <c r="CD68" s="150">
        <f>IF(Tabel2[[#This Row],[LPR 1]]&gt;0,1,0)</f>
        <v>0</v>
      </c>
      <c r="CE68" s="150">
        <f>IF(Tabel2[[#This Row],[LPR 2]]&gt;0,1,0)</f>
        <v>0</v>
      </c>
      <c r="CF68" s="150">
        <f>IF(Tabel2[[#This Row],[LPR 3]]&gt;0,1,0)</f>
        <v>0</v>
      </c>
      <c r="CG68" s="150">
        <f>IF(Tabel2[[#This Row],[LPR 4]]&gt;0,1,0)</f>
        <v>0</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0</v>
      </c>
      <c r="CO68" s="22" t="str">
        <f t="shared" si="1"/>
        <v/>
      </c>
      <c r="CP68" s="22" t="str">
        <f t="shared" si="2"/>
        <v/>
      </c>
      <c r="CQ68" s="22" t="str">
        <f t="shared" si="3"/>
        <v/>
      </c>
      <c r="CR68" s="22" t="str">
        <f t="shared" si="4"/>
        <v/>
      </c>
      <c r="CS68" s="22" t="str">
        <f t="shared" si="5"/>
        <v/>
      </c>
    </row>
    <row r="69" spans="1:97" x14ac:dyDescent="0.3">
      <c r="A69" s="22" t="s">
        <v>145</v>
      </c>
      <c r="B69" s="22" t="s">
        <v>778</v>
      </c>
      <c r="D69" s="22" t="s">
        <v>137</v>
      </c>
      <c r="E69" t="s">
        <v>226</v>
      </c>
      <c r="F69" s="22">
        <v>120627</v>
      </c>
      <c r="G69" s="25" t="s">
        <v>149</v>
      </c>
      <c r="H69" s="23">
        <f>Tabel2[[#This Row],[pnt t/m 2021/22]]+Tabel2[[#This Row],[pnt 2022/2023]]</f>
        <v>305.06547619047615</v>
      </c>
      <c r="I69">
        <v>2006</v>
      </c>
      <c r="J69">
        <v>2022</v>
      </c>
      <c r="K69" s="24">
        <f>Tabel2[[#This Row],[ijkdatum]]-Tabel2[[#This Row],[Geboren]]</f>
        <v>16</v>
      </c>
      <c r="L69" s="26">
        <f>Tabel2[[#This Row],[TTL 1]]+Tabel2[[#This Row],[TTL 2]]+Tabel2[[#This Row],[TTL 3]]+Tabel2[[#This Row],[TTL 4]]+Tabel2[[#This Row],[TTL 5]]+Tabel2[[#This Row],[TTL 6]]+Tabel2[[#This Row],[TTL 7]]+Tabel2[[#This Row],[TTL 8]]+Tabel2[[#This Row],[TTL 9]]+Tabel2[[#This Row],[TTL 10]]</f>
        <v>0</v>
      </c>
      <c r="M69" s="153">
        <v>305.06547619047615</v>
      </c>
      <c r="O69">
        <v>1</v>
      </c>
      <c r="S69" s="153">
        <f>SUM(Tabel2[[#This Row],[V 1]]*10+Tabel2[[#This Row],[GT 1]])/Tabel2[[#This Row],[AW 1]]*10+Tabel2[[#This Row],[BONUS 1]]</f>
        <v>0</v>
      </c>
      <c r="U69">
        <v>1</v>
      </c>
      <c r="Y69" s="153">
        <f>SUM(Tabel2[[#This Row],[V 2]]*10+Tabel2[[#This Row],[GT 2]])/Tabel2[[#This Row],[AW 2]]*10+Tabel2[[#This Row],[BONUS 2]]</f>
        <v>0</v>
      </c>
      <c r="AA69">
        <v>1</v>
      </c>
      <c r="AE69" s="153">
        <f>SUM(Tabel2[[#This Row],[V 3]]*10+Tabel2[[#This Row],[GT 3]])/Tabel2[[#This Row],[AW 3]]*10+Tabel2[[#This Row],[BONUS 3]]</f>
        <v>0</v>
      </c>
      <c r="AG69">
        <v>1</v>
      </c>
      <c r="AK69" s="153">
        <f>SUM(Tabel2[[#This Row],[V 4]]*10+Tabel2[[#This Row],[GT 4]])/Tabel2[[#This Row],[AW 4]]*10+Tabel2[[#This Row],[BONUS 4]]</f>
        <v>0</v>
      </c>
      <c r="AM69">
        <v>1</v>
      </c>
      <c r="AQ69" s="153">
        <f>SUM(Tabel2[[#This Row],[V 5]]*10+Tabel2[[#This Row],[GT 5]])/Tabel2[[#This Row],[AW 5]]*10+Tabel2[[#This Row],[BONUS 5]]</f>
        <v>0</v>
      </c>
      <c r="AS69">
        <v>1</v>
      </c>
      <c r="AW69" s="153">
        <f>SUM(Tabel2[[#This Row],[V 6]]*10+Tabel2[[#This Row],[GT 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15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9" s="22">
        <v>250</v>
      </c>
      <c r="BX69" s="22">
        <f>Tabel2[[#This Row],[Diploma]]-Tabel2[[#This Row],[Uitgeschreven]]</f>
        <v>0</v>
      </c>
      <c r="BY69" s="155" t="str">
        <f>IF(BX69=0,"geen actie",CONCATENATE("diploma uitschrijven: ",BV69," punten"))</f>
        <v>geen actie</v>
      </c>
      <c r="CA69" s="150">
        <f>Tabel2[[#This Row],[pnt t/m 2021/22]]</f>
        <v>305.06547619047615</v>
      </c>
      <c r="CB69" s="150">
        <f>Tabel2[[#This Row],[pnt 2022/2023]]</f>
        <v>0</v>
      </c>
      <c r="CC69" s="150">
        <f t="shared" si="6"/>
        <v>305.06547619047615</v>
      </c>
      <c r="CD69" s="150">
        <f>IF(Tabel2[[#This Row],[LPR 1]]&gt;0,1,0)</f>
        <v>0</v>
      </c>
      <c r="CE69" s="150">
        <f>IF(Tabel2[[#This Row],[LPR 2]]&gt;0,1,0)</f>
        <v>0</v>
      </c>
      <c r="CF69" s="150">
        <f>IF(Tabel2[[#This Row],[LPR 3]]&gt;0,1,0)</f>
        <v>0</v>
      </c>
      <c r="CG69" s="150">
        <f>IF(Tabel2[[#This Row],[LPR 4]]&gt;0,1,0)</f>
        <v>0</v>
      </c>
      <c r="CH69" s="150">
        <f>IF(Tabel2[[#This Row],[LPR 5]]&gt;0,1,0)</f>
        <v>0</v>
      </c>
      <c r="CI69" s="150">
        <f>IF(Tabel2[[#This Row],[LPR 6]]&gt;0,1,0)</f>
        <v>0</v>
      </c>
      <c r="CJ69" s="150">
        <f>IF(Tabel2[[#This Row],[LPR 7]]&gt;0,1,0)</f>
        <v>0</v>
      </c>
      <c r="CK69" s="150">
        <f>IF(Tabel2[[#This Row],[LPR 8]]&gt;0,1,0)</f>
        <v>0</v>
      </c>
      <c r="CL69" s="150">
        <f>IF(Tabel2[[#This Row],[LPR 9]]&gt;0,1,0)</f>
        <v>0</v>
      </c>
      <c r="CM69" s="150">
        <f>IF(Tabel2[[#This Row],[LPR 10]]&gt;0,1,0)</f>
        <v>0</v>
      </c>
      <c r="CN69" s="150">
        <f>SUM(Tabel7[[#This Row],[sep]:[jun]])</f>
        <v>0</v>
      </c>
      <c r="CO69" s="22" t="str">
        <f t="shared" si="1"/>
        <v/>
      </c>
      <c r="CP69" s="22" t="str">
        <f t="shared" si="2"/>
        <v/>
      </c>
      <c r="CQ69" s="22" t="str">
        <f t="shared" si="3"/>
        <v/>
      </c>
      <c r="CR69" s="22" t="str">
        <f t="shared" si="4"/>
        <v/>
      </c>
      <c r="CS69" s="22" t="str">
        <f t="shared" si="5"/>
        <v/>
      </c>
    </row>
    <row r="70" spans="1:97" x14ac:dyDescent="0.3">
      <c r="A70" s="22" t="s">
        <v>135</v>
      </c>
      <c r="B70" s="22" t="s">
        <v>778</v>
      </c>
      <c r="D70" s="22" t="s">
        <v>783</v>
      </c>
      <c r="E70" t="s">
        <v>227</v>
      </c>
      <c r="F70" s="22">
        <v>119451</v>
      </c>
      <c r="G70" s="25" t="s">
        <v>369</v>
      </c>
      <c r="H70" s="142">
        <f>Tabel2[[#This Row],[pnt t/m 2021/22]]+Tabel2[[#This Row],[pnt 2022/2023]]</f>
        <v>671.61904761904759</v>
      </c>
      <c r="I70">
        <v>2010</v>
      </c>
      <c r="J70">
        <v>2022</v>
      </c>
      <c r="K70" s="24">
        <f>Tabel2[[#This Row],[ijkdatum]]-Tabel2[[#This Row],[Geboren]]</f>
        <v>12</v>
      </c>
      <c r="L70" s="26">
        <f>Tabel2[[#This Row],[TTL 1]]+Tabel2[[#This Row],[TTL 2]]+Tabel2[[#This Row],[TTL 3]]+Tabel2[[#This Row],[TTL 4]]+Tabel2[[#This Row],[TTL 5]]+Tabel2[[#This Row],[TTL 6]]+Tabel2[[#This Row],[TTL 7]]+Tabel2[[#This Row],[TTL 8]]+Tabel2[[#This Row],[TTL 9]]+Tabel2[[#This Row],[TTL 10]]</f>
        <v>69</v>
      </c>
      <c r="M70" s="141">
        <v>602.61904761904759</v>
      </c>
      <c r="N70">
        <v>3</v>
      </c>
      <c r="O70">
        <v>10</v>
      </c>
      <c r="P70">
        <v>4</v>
      </c>
      <c r="Q70">
        <v>29</v>
      </c>
      <c r="S70" s="23">
        <f>SUM(Tabel2[[#This Row],[V 1]]*10+Tabel2[[#This Row],[GT 1]])/Tabel2[[#This Row],[AW 1]]*10+Tabel2[[#This Row],[BONUS 1]]</f>
        <v>69</v>
      </c>
      <c r="U70">
        <v>1</v>
      </c>
      <c r="Y70" s="23">
        <f>SUM(Tabel2[[#This Row],[V 2]]*10+Tabel2[[#This Row],[GT 2]])/Tabel2[[#This Row],[AW 2]]*10+Tabel2[[#This Row],[BONUS 2]]</f>
        <v>0</v>
      </c>
      <c r="AA70">
        <v>1</v>
      </c>
      <c r="AE70" s="23">
        <f>SUM(Tabel2[[#This Row],[V 3]]*10+Tabel2[[#This Row],[GT 3]])/Tabel2[[#This Row],[AW 3]]*10+Tabel2[[#This Row],[BONUS 3]]</f>
        <v>0</v>
      </c>
      <c r="AG70">
        <v>1</v>
      </c>
      <c r="AK70" s="23">
        <f>SUM(Tabel2[[#This Row],[V 4]]*10+Tabel2[[#This Row],[GT 4]])/Tabel2[[#This Row],[AW 4]]*10+Tabel2[[#This Row],[BONUS 4]]</f>
        <v>0</v>
      </c>
      <c r="AM70">
        <v>1</v>
      </c>
      <c r="AQ70" s="23">
        <f>SUM(Tabel2[[#This Row],[V 5]]*10+Tabel2[[#This Row],[GT 5]])/Tabel2[[#This Row],[AW 5]]*10+Tabel2[[#This Row],[BONUS 5]]</f>
        <v>0</v>
      </c>
      <c r="AS70">
        <v>1</v>
      </c>
      <c r="AW70" s="23">
        <f>SUM(Tabel2[[#This Row],[V 6]]*10+Tabel2[[#This Row],[GT 6]])/Tabel2[[#This Row],[AW 6]]*10+Tabel2[[#This Row],[BONUS 6]]</f>
        <v>0</v>
      </c>
      <c r="AY70">
        <v>1</v>
      </c>
      <c r="BC70" s="23">
        <f>SUM(Tabel2[[#This Row],[V 7]]*10+Tabel2[[#This Row],[GT 7]])/Tabel2[[#This Row],[AW 7]]*10+Tabel2[[#This Row],[BONUS 7]]</f>
        <v>0</v>
      </c>
      <c r="BE70">
        <v>1</v>
      </c>
      <c r="BI70" s="23">
        <f>SUM(Tabel2[[#This Row],[V 8]]*10+Tabel2[[#This Row],[GT 8]])/Tabel2[[#This Row],[AW 8]]*10+Tabel2[[#This Row],[BONUS 8]]</f>
        <v>0</v>
      </c>
      <c r="BK70">
        <v>1</v>
      </c>
      <c r="BO70" s="23">
        <f>SUM(Tabel2[[#This Row],[V 9]]*10+Tabel2[[#This Row],[GT 9]])/Tabel2[[#This Row],[AW 9]]*10+Tabel2[[#This Row],[BONUS 9]]</f>
        <v>0</v>
      </c>
      <c r="BQ70">
        <v>1</v>
      </c>
      <c r="BU70" s="23">
        <f>SUM(Tabel2[[#This Row],[V 10]]*10+Tabel2[[#This Row],[GT 10]])/Tabel2[[#This Row],[AW 10]]*10+Tabel2[[#This Row],[BONUS 10]]</f>
        <v>0</v>
      </c>
      <c r="BV7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0" s="22">
        <v>500</v>
      </c>
      <c r="BX70" s="30">
        <f>Tabel2[[#This Row],[Diploma]]-Tabel2[[#This Row],[Uitgeschreven]]</f>
        <v>0</v>
      </c>
      <c r="BY70" s="2" t="str">
        <f>IF(BX70=0,"geen actie",CONCATENATE("diploma uitschrijven: ",BV70," punten"))</f>
        <v>geen actie</v>
      </c>
      <c r="CA70" s="150">
        <f>Tabel2[[#This Row],[pnt t/m 2021/22]]</f>
        <v>602.61904761904759</v>
      </c>
      <c r="CB70" s="150">
        <f>Tabel2[[#This Row],[pnt 2022/2023]]</f>
        <v>69</v>
      </c>
      <c r="CC70" s="150">
        <f t="shared" si="6"/>
        <v>671.61904761904759</v>
      </c>
      <c r="CD70" s="150">
        <f>IF(Tabel2[[#This Row],[LPR 1]]&gt;0,1,0)</f>
        <v>1</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1</v>
      </c>
      <c r="CO70" s="22" t="str">
        <f t="shared" ref="CO70:CO133" si="7">IF(AND($CA70&lt;1000,$CC70&gt;1000),"x","")</f>
        <v/>
      </c>
      <c r="CP70" s="22" t="str">
        <f t="shared" ref="CP70:CP133" si="8">IF(AND($CA70&lt;1500,$CC70&gt;1500),"x","")</f>
        <v/>
      </c>
      <c r="CQ70" s="22" t="str">
        <f t="shared" ref="CQ70:CQ133" si="9">IF(AND($CA70&lt;2000,$CC70&gt;2000),"x","")</f>
        <v/>
      </c>
      <c r="CR70" s="22" t="str">
        <f t="shared" ref="CR70:CR133" si="10">IF(AND($CA70&lt;2500,$CC70&gt;2500),"x","")</f>
        <v/>
      </c>
      <c r="CS70" s="22" t="str">
        <f t="shared" ref="CS70:CS133" si="11">IF(AND($CA70&lt;3000,$CC70&gt;3000),"x","")</f>
        <v/>
      </c>
    </row>
    <row r="71" spans="1:97" x14ac:dyDescent="0.3">
      <c r="A71" s="22" t="s">
        <v>143</v>
      </c>
      <c r="B71" s="22" t="s">
        <v>779</v>
      </c>
      <c r="D71" s="22" t="s">
        <v>137</v>
      </c>
      <c r="E71" t="s">
        <v>229</v>
      </c>
      <c r="F71" s="22">
        <v>119577</v>
      </c>
      <c r="G71" s="25" t="s">
        <v>180</v>
      </c>
      <c r="H71" s="142">
        <f>Tabel2[[#This Row],[pnt t/m 2021/22]]+Tabel2[[#This Row],[pnt 2022/2023]]</f>
        <v>334.77777777777783</v>
      </c>
      <c r="I71">
        <v>2008</v>
      </c>
      <c r="J71">
        <v>2022</v>
      </c>
      <c r="K71" s="24">
        <f>Tabel2[[#This Row],[ijkdatum]]-Tabel2[[#This Row],[Geboren]]</f>
        <v>14</v>
      </c>
      <c r="L71" s="26">
        <f>Tabel2[[#This Row],[TTL 1]]+Tabel2[[#This Row],[TTL 2]]+Tabel2[[#This Row],[TTL 3]]+Tabel2[[#This Row],[TTL 4]]+Tabel2[[#This Row],[TTL 5]]+Tabel2[[#This Row],[TTL 6]]+Tabel2[[#This Row],[TTL 7]]+Tabel2[[#This Row],[TTL 8]]+Tabel2[[#This Row],[TTL 9]]+Tabel2[[#This Row],[TTL 10]]</f>
        <v>0</v>
      </c>
      <c r="M71" s="141">
        <v>334.77777777777783</v>
      </c>
      <c r="O71">
        <v>1</v>
      </c>
      <c r="S71" s="23">
        <f>SUM(Tabel2[[#This Row],[V 1]]*10+Tabel2[[#This Row],[GT 1]])/Tabel2[[#This Row],[AW 1]]*10+Tabel2[[#This Row],[BONUS 1]]</f>
        <v>0</v>
      </c>
      <c r="U71">
        <v>1</v>
      </c>
      <c r="Y71" s="23">
        <f>SUM(Tabel2[[#This Row],[V 2]]*10+Tabel2[[#This Row],[GT 2]])/Tabel2[[#This Row],[AW 2]]*10+Tabel2[[#This Row],[BONUS 2]]</f>
        <v>0</v>
      </c>
      <c r="AA71">
        <v>1</v>
      </c>
      <c r="AE71" s="23">
        <f>SUM(Tabel2[[#This Row],[V 3]]*10+Tabel2[[#This Row],[GT 3]])/Tabel2[[#This Row],[AW 3]]*10+Tabel2[[#This Row],[BONUS 3]]</f>
        <v>0</v>
      </c>
      <c r="AG71">
        <v>1</v>
      </c>
      <c r="AK71" s="23">
        <f>SUM(Tabel2[[#This Row],[V 4]]*10+Tabel2[[#This Row],[GT 4]])/Tabel2[[#This Row],[AW 4]]*10+Tabel2[[#This Row],[BONUS 4]]</f>
        <v>0</v>
      </c>
      <c r="AM71">
        <v>1</v>
      </c>
      <c r="AQ71" s="23">
        <f>SUM(Tabel2[[#This Row],[V 5]]*10+Tabel2[[#This Row],[GT 5]])/Tabel2[[#This Row],[AW 5]]*10+Tabel2[[#This Row],[BONUS 5]]</f>
        <v>0</v>
      </c>
      <c r="AS71">
        <v>1</v>
      </c>
      <c r="AW71" s="23">
        <f>SUM(Tabel2[[#This Row],[V 6]]*10+Tabel2[[#This Row],[GT 6]])/Tabel2[[#This Row],[AW 6]]*10+Tabel2[[#This Row],[BONUS 6]]</f>
        <v>0</v>
      </c>
      <c r="AY71">
        <v>1</v>
      </c>
      <c r="BC71" s="23">
        <f>SUM(Tabel2[[#This Row],[V 7]]*10+Tabel2[[#This Row],[GT 7]])/Tabel2[[#This Row],[AW 7]]*10+Tabel2[[#This Row],[BONUS 7]]</f>
        <v>0</v>
      </c>
      <c r="BE71">
        <v>1</v>
      </c>
      <c r="BI71" s="23">
        <f>SUM(Tabel2[[#This Row],[V 8]]*10+Tabel2[[#This Row],[GT 8]])/Tabel2[[#This Row],[AW 8]]*10+Tabel2[[#This Row],[BONUS 8]]</f>
        <v>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1" s="22">
        <v>250</v>
      </c>
      <c r="BX71" s="30">
        <f>Tabel2[[#This Row],[Diploma]]-Tabel2[[#This Row],[Uitgeschreven]]</f>
        <v>0</v>
      </c>
      <c r="BY71" s="2" t="str">
        <f>IF(BX71=0,"geen actie",CONCATENATE("diploma uitschrijven: ",BV71," punten"))</f>
        <v>geen actie</v>
      </c>
      <c r="CA71" s="150">
        <f>Tabel2[[#This Row],[pnt t/m 2021/22]]</f>
        <v>334.77777777777783</v>
      </c>
      <c r="CB71" s="150">
        <f>Tabel2[[#This Row],[pnt 2022/2023]]</f>
        <v>0</v>
      </c>
      <c r="CC71" s="150">
        <f t="shared" ref="CC71:CC134" si="12">CA71+CB71</f>
        <v>334.77777777777783</v>
      </c>
      <c r="CD71" s="150">
        <f>IF(Tabel2[[#This Row],[LPR 1]]&gt;0,1,0)</f>
        <v>0</v>
      </c>
      <c r="CE71" s="150">
        <f>IF(Tabel2[[#This Row],[LPR 2]]&gt;0,1,0)</f>
        <v>0</v>
      </c>
      <c r="CF71" s="150">
        <f>IF(Tabel2[[#This Row],[LPR 3]]&gt;0,1,0)</f>
        <v>0</v>
      </c>
      <c r="CG71" s="150">
        <f>IF(Tabel2[[#This Row],[LPR 4]]&gt;0,1,0)</f>
        <v>0</v>
      </c>
      <c r="CH71" s="150">
        <f>IF(Tabel2[[#This Row],[LPR 5]]&gt;0,1,0)</f>
        <v>0</v>
      </c>
      <c r="CI71" s="150">
        <f>IF(Tabel2[[#This Row],[LPR 6]]&gt;0,1,0)</f>
        <v>0</v>
      </c>
      <c r="CJ71" s="150">
        <f>IF(Tabel2[[#This Row],[LPR 7]]&gt;0,1,0)</f>
        <v>0</v>
      </c>
      <c r="CK71" s="150">
        <f>IF(Tabel2[[#This Row],[LPR 8]]&gt;0,1,0)</f>
        <v>0</v>
      </c>
      <c r="CL71" s="150">
        <f>IF(Tabel2[[#This Row],[LPR 9]]&gt;0,1,0)</f>
        <v>0</v>
      </c>
      <c r="CM71" s="150">
        <f>IF(Tabel2[[#This Row],[LPR 10]]&gt;0,1,0)</f>
        <v>0</v>
      </c>
      <c r="CN71" s="150">
        <f>SUM(Tabel7[[#This Row],[sep]:[jun]])</f>
        <v>0</v>
      </c>
      <c r="CO71" s="22" t="str">
        <f t="shared" si="7"/>
        <v/>
      </c>
      <c r="CP71" s="22" t="str">
        <f t="shared" si="8"/>
        <v/>
      </c>
      <c r="CQ71" s="22" t="str">
        <f t="shared" si="9"/>
        <v/>
      </c>
      <c r="CR71" s="22" t="str">
        <f t="shared" si="10"/>
        <v/>
      </c>
      <c r="CS71" s="22" t="str">
        <f t="shared" si="11"/>
        <v/>
      </c>
    </row>
    <row r="72" spans="1:97" x14ac:dyDescent="0.3">
      <c r="A72" s="22" t="s">
        <v>153</v>
      </c>
      <c r="B72" s="22" t="s">
        <v>778</v>
      </c>
      <c r="D72" s="22" t="s">
        <v>783</v>
      </c>
      <c r="E72" t="s">
        <v>777</v>
      </c>
      <c r="F72" s="22">
        <v>120429</v>
      </c>
      <c r="G72" s="25" t="s">
        <v>174</v>
      </c>
      <c r="H72" s="142">
        <f>Tabel2[[#This Row],[pnt t/m 2021/22]]+Tabel2[[#This Row],[pnt 2022/2023]]</f>
        <v>185</v>
      </c>
      <c r="I72">
        <v>2010</v>
      </c>
      <c r="J72">
        <v>2023</v>
      </c>
      <c r="K72" s="24">
        <f>Tabel2[[#This Row],[ijkdatum]]-Tabel2[[#This Row],[Geboren]]</f>
        <v>13</v>
      </c>
      <c r="L72" s="26">
        <f>Tabel2[[#This Row],[TTL 1]]+Tabel2[[#This Row],[TTL 2]]+Tabel2[[#This Row],[TTL 3]]+Tabel2[[#This Row],[TTL 4]]+Tabel2[[#This Row],[TTL 5]]+Tabel2[[#This Row],[TTL 6]]+Tabel2[[#This Row],[TTL 7]]+Tabel2[[#This Row],[TTL 8]]+Tabel2[[#This Row],[TTL 9]]+Tabel2[[#This Row],[TTL 10]]</f>
        <v>185</v>
      </c>
      <c r="M72" s="141"/>
      <c r="N72">
        <v>4</v>
      </c>
      <c r="O72">
        <v>10</v>
      </c>
      <c r="P72">
        <v>4</v>
      </c>
      <c r="Q72">
        <v>31</v>
      </c>
      <c r="S72" s="23">
        <f>SUM(Tabel2[[#This Row],[V 1]]*10+Tabel2[[#This Row],[GT 1]])/Tabel2[[#This Row],[AW 1]]*10+Tabel2[[#This Row],[BONUS 1]]</f>
        <v>71</v>
      </c>
      <c r="T72">
        <v>3</v>
      </c>
      <c r="U72">
        <v>10</v>
      </c>
      <c r="V72">
        <v>7</v>
      </c>
      <c r="W72">
        <v>44</v>
      </c>
      <c r="Y72" s="23">
        <f>SUM(Tabel2[[#This Row],[V 2]]*10+Tabel2[[#This Row],[GT 2]])/Tabel2[[#This Row],[AW 2]]*10+Tabel2[[#This Row],[BONUS 2]]</f>
        <v>114</v>
      </c>
      <c r="AA72">
        <v>1</v>
      </c>
      <c r="AE72" s="23">
        <f>SUM(Tabel2[[#This Row],[V 3]]*10+Tabel2[[#This Row],[GT 3]])/Tabel2[[#This Row],[AW 3]]*10+Tabel2[[#This Row],[BONUS 3]]</f>
        <v>0</v>
      </c>
      <c r="AG72">
        <v>1</v>
      </c>
      <c r="AK72" s="23">
        <f>SUM(Tabel2[[#This Row],[V 4]]*10+Tabel2[[#This Row],[GT 4]])/Tabel2[[#This Row],[AW 4]]*10+Tabel2[[#This Row],[BONUS 4]]</f>
        <v>0</v>
      </c>
      <c r="AM72">
        <v>1</v>
      </c>
      <c r="AQ72" s="23">
        <f>SUM(Tabel2[[#This Row],[V 5]]*10+Tabel2[[#This Row],[GT 5]])/Tabel2[[#This Row],[AW 5]]*10+Tabel2[[#This Row],[BONUS 5]]</f>
        <v>0</v>
      </c>
      <c r="AS72">
        <v>1</v>
      </c>
      <c r="AW72" s="23">
        <f>SUM(Tabel2[[#This Row],[V 6]]*10+Tabel2[[#This Row],[GT 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2" s="22">
        <v>0</v>
      </c>
      <c r="BX72" s="30">
        <f>Tabel2[[#This Row],[Diploma]]-Tabel2[[#This Row],[Uitgeschreven]]</f>
        <v>0</v>
      </c>
      <c r="BY72" s="2" t="str">
        <f>IF(BX72=0,"geen actie",CONCATENATE("diploma uitschrijven: ",BV72," punten"))</f>
        <v>geen actie</v>
      </c>
      <c r="CA72" s="150">
        <f>Tabel2[[#This Row],[pnt t/m 2021/22]]</f>
        <v>0</v>
      </c>
      <c r="CB72" s="150">
        <f>Tabel2[[#This Row],[pnt 2022/2023]]</f>
        <v>185</v>
      </c>
      <c r="CC72" s="150">
        <f t="shared" si="12"/>
        <v>185</v>
      </c>
      <c r="CD72" s="150">
        <f>IF(Tabel2[[#This Row],[LPR 1]]&gt;0,1,0)</f>
        <v>1</v>
      </c>
      <c r="CE72" s="150">
        <f>IF(Tabel2[[#This Row],[LPR 2]]&gt;0,1,0)</f>
        <v>1</v>
      </c>
      <c r="CF72" s="150">
        <f>IF(Tabel2[[#This Row],[LPR 3]]&gt;0,1,0)</f>
        <v>0</v>
      </c>
      <c r="CG72" s="150">
        <f>IF(Tabel2[[#This Row],[LPR 4]]&gt;0,1,0)</f>
        <v>0</v>
      </c>
      <c r="CH72" s="150">
        <f>IF(Tabel2[[#This Row],[LPR 5]]&gt;0,1,0)</f>
        <v>0</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2</v>
      </c>
      <c r="CO72" s="22" t="str">
        <f t="shared" si="7"/>
        <v/>
      </c>
      <c r="CP72" s="22" t="str">
        <f t="shared" si="8"/>
        <v/>
      </c>
      <c r="CQ72" s="22" t="str">
        <f t="shared" si="9"/>
        <v/>
      </c>
      <c r="CR72" s="22" t="str">
        <f t="shared" si="10"/>
        <v/>
      </c>
      <c r="CS72" s="22" t="str">
        <f t="shared" si="11"/>
        <v/>
      </c>
    </row>
    <row r="73" spans="1:97" x14ac:dyDescent="0.3">
      <c r="A73" s="22" t="s">
        <v>135</v>
      </c>
      <c r="B73" s="22" t="s">
        <v>778</v>
      </c>
      <c r="D73" s="22" t="s">
        <v>137</v>
      </c>
      <c r="E73" t="s">
        <v>230</v>
      </c>
      <c r="F73" s="22">
        <v>117721</v>
      </c>
      <c r="G73" s="25" t="s">
        <v>180</v>
      </c>
      <c r="H73" s="142">
        <f>Tabel2[[#This Row],[pnt t/m 2021/22]]+Tabel2[[#This Row],[pnt 2022/2023]]</f>
        <v>460.9220779220779</v>
      </c>
      <c r="I73">
        <v>2008</v>
      </c>
      <c r="J73">
        <v>2022</v>
      </c>
      <c r="K73" s="24">
        <f>Tabel2[[#This Row],[ijkdatum]]-Tabel2[[#This Row],[Geboren]]</f>
        <v>14</v>
      </c>
      <c r="L73" s="26">
        <f>Tabel2[[#This Row],[TTL 1]]+Tabel2[[#This Row],[TTL 2]]+Tabel2[[#This Row],[TTL 3]]+Tabel2[[#This Row],[TTL 4]]+Tabel2[[#This Row],[TTL 5]]+Tabel2[[#This Row],[TTL 6]]+Tabel2[[#This Row],[TTL 7]]+Tabel2[[#This Row],[TTL 8]]+Tabel2[[#This Row],[TTL 9]]+Tabel2[[#This Row],[TTL 10]]</f>
        <v>0</v>
      </c>
      <c r="M73" s="153">
        <v>460.9220779220779</v>
      </c>
      <c r="O73">
        <v>1</v>
      </c>
      <c r="S73" s="23">
        <f>SUM(Tabel2[[#This Row],[V 1]]*10+Tabel2[[#This Row],[GT 1]])/Tabel2[[#This Row],[AW 1]]*10+Tabel2[[#This Row],[BONUS 1]]</f>
        <v>0</v>
      </c>
      <c r="U73">
        <v>1</v>
      </c>
      <c r="Y73" s="23">
        <f>SUM(Tabel2[[#This Row],[V 2]]*10+Tabel2[[#This Row],[GT 2]])/Tabel2[[#This Row],[AW 2]]*10+Tabel2[[#This Row],[BONUS 2]]</f>
        <v>0</v>
      </c>
      <c r="AA73">
        <v>1</v>
      </c>
      <c r="AE73" s="23">
        <f>SUM(Tabel2[[#This Row],[V 3]]*10+Tabel2[[#This Row],[GT 3]])/Tabel2[[#This Row],[AW 3]]*10+Tabel2[[#This Row],[BONUS 3]]</f>
        <v>0</v>
      </c>
      <c r="AG73">
        <v>1</v>
      </c>
      <c r="AK73" s="23">
        <f>SUM(Tabel2[[#This Row],[V 4]]*10+Tabel2[[#This Row],[GT 4]])/Tabel2[[#This Row],[AW 4]]*10+Tabel2[[#This Row],[BONUS 4]]</f>
        <v>0</v>
      </c>
      <c r="AM73">
        <v>1</v>
      </c>
      <c r="AQ73" s="23">
        <f>SUM(Tabel2[[#This Row],[V 5]]*10+Tabel2[[#This Row],[GT 5]])/Tabel2[[#This Row],[AW 5]]*10+Tabel2[[#This Row],[BONUS 5]]</f>
        <v>0</v>
      </c>
      <c r="AS73">
        <v>1</v>
      </c>
      <c r="AW73" s="23">
        <f>SUM(Tabel2[[#This Row],[V 6]]*10+Tabel2[[#This Row],[GT 6]])/Tabel2[[#This Row],[AW 6]]*10+Tabel2[[#This Row],[BONUS 6]]</f>
        <v>0</v>
      </c>
      <c r="AY73">
        <v>1</v>
      </c>
      <c r="BC73" s="23">
        <f>SUM(Tabel2[[#This Row],[V 7]]*10+Tabel2[[#This Row],[GT 7]])/Tabel2[[#This Row],[AW 7]]*10+Tabel2[[#This Row],[BONUS 7]]</f>
        <v>0</v>
      </c>
      <c r="BE73">
        <v>1</v>
      </c>
      <c r="BI73" s="23">
        <f>SUM(Tabel2[[#This Row],[V 8]]*10+Tabel2[[#This Row],[GT 8]])/Tabel2[[#This Row],[AW 8]]*10+Tabel2[[#This Row],[BONUS 8]]</f>
        <v>0</v>
      </c>
      <c r="BK73">
        <v>1</v>
      </c>
      <c r="BO73" s="23">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3" s="22">
        <v>250</v>
      </c>
      <c r="BX73" s="30">
        <f>Tabel2[[#This Row],[Diploma]]-Tabel2[[#This Row],[Uitgeschreven]]</f>
        <v>0</v>
      </c>
      <c r="BY73" s="2" t="str">
        <f>IF(BX73=0,"geen actie",CONCATENATE("diploma uitschrijven: ",BV73," punten"))</f>
        <v>geen actie</v>
      </c>
      <c r="CA73" s="150">
        <f>Tabel2[[#This Row],[pnt t/m 2021/22]]</f>
        <v>460.9220779220779</v>
      </c>
      <c r="CB73" s="150">
        <f>Tabel2[[#This Row],[pnt 2022/2023]]</f>
        <v>0</v>
      </c>
      <c r="CC73" s="150">
        <f t="shared" si="12"/>
        <v>460.9220779220779</v>
      </c>
      <c r="CD73" s="150">
        <f>IF(Tabel2[[#This Row],[LPR 1]]&gt;0,1,0)</f>
        <v>0</v>
      </c>
      <c r="CE73" s="150">
        <f>IF(Tabel2[[#This Row],[LPR 2]]&gt;0,1,0)</f>
        <v>0</v>
      </c>
      <c r="CF73" s="150">
        <f>IF(Tabel2[[#This Row],[LPR 3]]&gt;0,1,0)</f>
        <v>0</v>
      </c>
      <c r="CG73" s="150">
        <f>IF(Tabel2[[#This Row],[LPR 4]]&gt;0,1,0)</f>
        <v>0</v>
      </c>
      <c r="CH73" s="150">
        <f>IF(Tabel2[[#This Row],[LPR 5]]&gt;0,1,0)</f>
        <v>0</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0</v>
      </c>
      <c r="CO73" s="22" t="str">
        <f t="shared" si="7"/>
        <v/>
      </c>
      <c r="CP73" s="22" t="str">
        <f t="shared" si="8"/>
        <v/>
      </c>
      <c r="CQ73" s="22" t="str">
        <f t="shared" si="9"/>
        <v/>
      </c>
      <c r="CR73" s="22" t="str">
        <f t="shared" si="10"/>
        <v/>
      </c>
      <c r="CS73" s="22" t="str">
        <f t="shared" si="11"/>
        <v/>
      </c>
    </row>
    <row r="74" spans="1:97" x14ac:dyDescent="0.3">
      <c r="A74" s="22" t="s">
        <v>135</v>
      </c>
      <c r="B74" s="22" t="s">
        <v>778</v>
      </c>
      <c r="D74" s="22" t="s">
        <v>784</v>
      </c>
      <c r="E74" t="s">
        <v>231</v>
      </c>
      <c r="F74" s="22">
        <v>119076</v>
      </c>
      <c r="G74" s="25" t="s">
        <v>369</v>
      </c>
      <c r="H74" s="142">
        <f>Tabel2[[#This Row],[pnt t/m 2021/22]]+Tabel2[[#This Row],[pnt 2022/2023]]</f>
        <v>1263.4658119658118</v>
      </c>
      <c r="I74">
        <v>2010</v>
      </c>
      <c r="J74">
        <v>2022</v>
      </c>
      <c r="K74" s="24">
        <f>Tabel2[[#This Row],[ijkdatum]]-Tabel2[[#This Row],[Geboren]]</f>
        <v>12</v>
      </c>
      <c r="L74" s="26">
        <f>Tabel2[[#This Row],[TTL 1]]+Tabel2[[#This Row],[TTL 2]]+Tabel2[[#This Row],[TTL 3]]+Tabel2[[#This Row],[TTL 4]]+Tabel2[[#This Row],[TTL 5]]+Tabel2[[#This Row],[TTL 6]]+Tabel2[[#This Row],[TTL 7]]+Tabel2[[#This Row],[TTL 8]]+Tabel2[[#This Row],[TTL 9]]+Tabel2[[#This Row],[TTL 10]]</f>
        <v>113.33333333333334</v>
      </c>
      <c r="M74" s="141">
        <v>1150.1324786324785</v>
      </c>
      <c r="N74">
        <v>2</v>
      </c>
      <c r="O74">
        <v>6</v>
      </c>
      <c r="P74">
        <v>4</v>
      </c>
      <c r="Q74">
        <v>28</v>
      </c>
      <c r="S74" s="23">
        <f>SUM(Tabel2[[#This Row],[V 1]]*10+Tabel2[[#This Row],[GT 1]])/Tabel2[[#This Row],[AW 1]]*10+Tabel2[[#This Row],[BONUS 1]]</f>
        <v>113.33333333333334</v>
      </c>
      <c r="U74">
        <v>1</v>
      </c>
      <c r="Y74" s="23">
        <f>SUM(Tabel2[[#This Row],[V 2]]*10+Tabel2[[#This Row],[GT 2]])/Tabel2[[#This Row],[AW 2]]*10+Tabel2[[#This Row],[BONUS 2]]</f>
        <v>0</v>
      </c>
      <c r="AA74">
        <v>1</v>
      </c>
      <c r="AE74" s="23">
        <f>SUM(Tabel2[[#This Row],[V 3]]*10+Tabel2[[#This Row],[GT 3]])/Tabel2[[#This Row],[AW 3]]*10+Tabel2[[#This Row],[BONUS 3]]</f>
        <v>0</v>
      </c>
      <c r="AG74">
        <v>1</v>
      </c>
      <c r="AK74" s="23">
        <f>SUM(Tabel2[[#This Row],[V 4]]*10+Tabel2[[#This Row],[GT 4]])/Tabel2[[#This Row],[AW 4]]*10+Tabel2[[#This Row],[BONUS 4]]</f>
        <v>0</v>
      </c>
      <c r="AM74">
        <v>1</v>
      </c>
      <c r="AQ74" s="23">
        <f>SUM(Tabel2[[#This Row],[V 5]]*10+Tabel2[[#This Row],[GT 5]])/Tabel2[[#This Row],[AW 5]]*10+Tabel2[[#This Row],[BONUS 5]]</f>
        <v>0</v>
      </c>
      <c r="AS74">
        <v>1</v>
      </c>
      <c r="AW74" s="23">
        <f>SUM(Tabel2[[#This Row],[V 6]]*10+Tabel2[[#This Row],[GT 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2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4" s="22">
        <v>1000</v>
      </c>
      <c r="BX74" s="30">
        <f>Tabel2[[#This Row],[Diploma]]-Tabel2[[#This Row],[Uitgeschreven]]</f>
        <v>0</v>
      </c>
      <c r="BY74" s="2" t="str">
        <f>IF(BX74=0,"geen actie",CONCATENATE("diploma uitschrijven: ",BV74," punten"))</f>
        <v>geen actie</v>
      </c>
      <c r="CA74" s="150">
        <f>Tabel2[[#This Row],[pnt t/m 2021/22]]</f>
        <v>1150.1324786324785</v>
      </c>
      <c r="CB74" s="150">
        <f>Tabel2[[#This Row],[pnt 2022/2023]]</f>
        <v>113.33333333333334</v>
      </c>
      <c r="CC74" s="150">
        <f t="shared" si="12"/>
        <v>1263.4658119658118</v>
      </c>
      <c r="CD74" s="150">
        <f>IF(Tabel2[[#This Row],[LPR 1]]&gt;0,1,0)</f>
        <v>1</v>
      </c>
      <c r="CE74" s="150">
        <f>IF(Tabel2[[#This Row],[LPR 2]]&gt;0,1,0)</f>
        <v>0</v>
      </c>
      <c r="CF74" s="150">
        <f>IF(Tabel2[[#This Row],[LPR 3]]&gt;0,1,0)</f>
        <v>0</v>
      </c>
      <c r="CG74" s="150">
        <f>IF(Tabel2[[#This Row],[LPR 4]]&gt;0,1,0)</f>
        <v>0</v>
      </c>
      <c r="CH74" s="150">
        <f>IF(Tabel2[[#This Row],[LPR 5]]&gt;0,1,0)</f>
        <v>0</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1</v>
      </c>
      <c r="CO74" s="22" t="str">
        <f t="shared" si="7"/>
        <v/>
      </c>
      <c r="CP74" s="22" t="str">
        <f t="shared" si="8"/>
        <v/>
      </c>
      <c r="CQ74" s="22" t="str">
        <f t="shared" si="9"/>
        <v/>
      </c>
      <c r="CR74" s="22" t="str">
        <f t="shared" si="10"/>
        <v/>
      </c>
      <c r="CS74" s="22" t="str">
        <f t="shared" si="11"/>
        <v/>
      </c>
    </row>
    <row r="75" spans="1:97" x14ac:dyDescent="0.3">
      <c r="A75" s="22" t="s">
        <v>143</v>
      </c>
      <c r="B75" s="22" t="s">
        <v>779</v>
      </c>
      <c r="D75" s="22" t="s">
        <v>137</v>
      </c>
      <c r="E75" t="s">
        <v>232</v>
      </c>
      <c r="F75" s="22">
        <v>118238</v>
      </c>
      <c r="G75" s="25" t="s">
        <v>185</v>
      </c>
      <c r="H75" s="142">
        <f>Tabel2[[#This Row],[pnt t/m 2021/22]]+Tabel2[[#This Row],[pnt 2022/2023]]</f>
        <v>674.27777777777783</v>
      </c>
      <c r="I75">
        <v>2009</v>
      </c>
      <c r="J75">
        <v>2022</v>
      </c>
      <c r="K75" s="24">
        <f>Tabel2[[#This Row],[ijkdatum]]-Tabel2[[#This Row],[Geboren]]</f>
        <v>13</v>
      </c>
      <c r="L75" s="26">
        <f>Tabel2[[#This Row],[TTL 1]]+Tabel2[[#This Row],[TTL 2]]+Tabel2[[#This Row],[TTL 3]]+Tabel2[[#This Row],[TTL 4]]+Tabel2[[#This Row],[TTL 5]]+Tabel2[[#This Row],[TTL 6]]+Tabel2[[#This Row],[TTL 7]]+Tabel2[[#This Row],[TTL 8]]+Tabel2[[#This Row],[TTL 9]]+Tabel2[[#This Row],[TTL 10]]</f>
        <v>0</v>
      </c>
      <c r="M75" s="153">
        <v>674.27777777777783</v>
      </c>
      <c r="O75">
        <v>1</v>
      </c>
      <c r="S75" s="23">
        <f>SUM(Tabel2[[#This Row],[V 1]]*10+Tabel2[[#This Row],[GT 1]])/Tabel2[[#This Row],[AW 1]]*10+Tabel2[[#This Row],[BONUS 1]]</f>
        <v>0</v>
      </c>
      <c r="U75">
        <v>1</v>
      </c>
      <c r="Y75" s="23">
        <f>SUM(Tabel2[[#This Row],[V 2]]*10+Tabel2[[#This Row],[GT 2]])/Tabel2[[#This Row],[AW 2]]*10+Tabel2[[#This Row],[BONUS 2]]</f>
        <v>0</v>
      </c>
      <c r="AA75">
        <v>1</v>
      </c>
      <c r="AE75" s="23">
        <f>SUM(Tabel2[[#This Row],[V 3]]*10+Tabel2[[#This Row],[GT 3]])/Tabel2[[#This Row],[AW 3]]*10+Tabel2[[#This Row],[BONUS 3]]</f>
        <v>0</v>
      </c>
      <c r="AG75">
        <v>1</v>
      </c>
      <c r="AK75" s="23">
        <f>SUM(Tabel2[[#This Row],[V 4]]*10+Tabel2[[#This Row],[GT 4]])/Tabel2[[#This Row],[AW 4]]*10+Tabel2[[#This Row],[BONUS 4]]</f>
        <v>0</v>
      </c>
      <c r="AM75">
        <v>1</v>
      </c>
      <c r="AQ75" s="23">
        <f>SUM(Tabel2[[#This Row],[V 5]]*10+Tabel2[[#This Row],[GT 5]])/Tabel2[[#This Row],[AW 5]]*10+Tabel2[[#This Row],[BONUS 5]]</f>
        <v>0</v>
      </c>
      <c r="AS75">
        <v>1</v>
      </c>
      <c r="AW75" s="23">
        <f>SUM(Tabel2[[#This Row],[V 6]]*10+Tabel2[[#This Row],[GT 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5" s="22">
        <v>500</v>
      </c>
      <c r="BX75" s="30">
        <f>Tabel2[[#This Row],[Diploma]]-Tabel2[[#This Row],[Uitgeschreven]]</f>
        <v>0</v>
      </c>
      <c r="BY75" s="2" t="str">
        <f>IF(BX75=0,"geen actie",CONCATENATE("diploma uitschrijven: ",BV75," punten"))</f>
        <v>geen actie</v>
      </c>
      <c r="CA75" s="150">
        <f>Tabel2[[#This Row],[pnt t/m 2021/22]]</f>
        <v>674.27777777777783</v>
      </c>
      <c r="CB75" s="150">
        <f>Tabel2[[#This Row],[pnt 2022/2023]]</f>
        <v>0</v>
      </c>
      <c r="CC75" s="150">
        <f t="shared" si="12"/>
        <v>674.27777777777783</v>
      </c>
      <c r="CD75" s="150">
        <f>IF(Tabel2[[#This Row],[LPR 1]]&gt;0,1,0)</f>
        <v>0</v>
      </c>
      <c r="CE75" s="150">
        <f>IF(Tabel2[[#This Row],[LPR 2]]&gt;0,1,0)</f>
        <v>0</v>
      </c>
      <c r="CF75" s="150">
        <f>IF(Tabel2[[#This Row],[LPR 3]]&gt;0,1,0)</f>
        <v>0</v>
      </c>
      <c r="CG75" s="150">
        <f>IF(Tabel2[[#This Row],[LPR 4]]&gt;0,1,0)</f>
        <v>0</v>
      </c>
      <c r="CH75" s="150">
        <f>IF(Tabel2[[#This Row],[LPR 5]]&gt;0,1,0)</f>
        <v>0</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0</v>
      </c>
      <c r="CO75" s="22" t="str">
        <f t="shared" si="7"/>
        <v/>
      </c>
      <c r="CP75" s="22" t="str">
        <f t="shared" si="8"/>
        <v/>
      </c>
      <c r="CQ75" s="22" t="str">
        <f t="shared" si="9"/>
        <v/>
      </c>
      <c r="CR75" s="22" t="str">
        <f t="shared" si="10"/>
        <v/>
      </c>
      <c r="CS75" s="22" t="str">
        <f t="shared" si="11"/>
        <v/>
      </c>
    </row>
    <row r="76" spans="1:97" x14ac:dyDescent="0.3">
      <c r="A76" s="22" t="s">
        <v>140</v>
      </c>
      <c r="B76" s="22" t="s">
        <v>779</v>
      </c>
      <c r="D76" s="22" t="s">
        <v>137</v>
      </c>
      <c r="E76" t="s">
        <v>214</v>
      </c>
      <c r="F76" s="22">
        <v>120285</v>
      </c>
      <c r="G76" s="25" t="s">
        <v>142</v>
      </c>
      <c r="H76" s="142">
        <f>Tabel2[[#This Row],[pnt t/m 2021/22]]+Tabel2[[#This Row],[pnt 2022/2023]]</f>
        <v>304.95879120879118</v>
      </c>
      <c r="I76">
        <v>2006</v>
      </c>
      <c r="J76">
        <v>2022</v>
      </c>
      <c r="K76" s="24">
        <f>Tabel2[[#This Row],[ijkdatum]]-Tabel2[[#This Row],[Geboren]]</f>
        <v>16</v>
      </c>
      <c r="L76" s="26">
        <f>Tabel2[[#This Row],[TTL 1]]+Tabel2[[#This Row],[TTL 2]]+Tabel2[[#This Row],[TTL 3]]+Tabel2[[#This Row],[TTL 4]]+Tabel2[[#This Row],[TTL 5]]+Tabel2[[#This Row],[TTL 6]]+Tabel2[[#This Row],[TTL 7]]+Tabel2[[#This Row],[TTL 8]]+Tabel2[[#This Row],[TTL 9]]+Tabel2[[#This Row],[TTL 10]]</f>
        <v>94.285714285714292</v>
      </c>
      <c r="M76" s="151">
        <v>210.67307692307691</v>
      </c>
      <c r="O76">
        <v>1</v>
      </c>
      <c r="S76" s="23">
        <f>SUM(Tabel2[[#This Row],[V 1]]*10+Tabel2[[#This Row],[GT 1]])/Tabel2[[#This Row],[AW 1]]*10+Tabel2[[#This Row],[BONUS 1]]</f>
        <v>0</v>
      </c>
      <c r="T76">
        <v>7</v>
      </c>
      <c r="U76">
        <v>7</v>
      </c>
      <c r="V76">
        <v>4</v>
      </c>
      <c r="W76">
        <v>26</v>
      </c>
      <c r="Y76" s="23">
        <f>SUM(Tabel2[[#This Row],[V 2]]*10+Tabel2[[#This Row],[GT 2]])/Tabel2[[#This Row],[AW 2]]*10+Tabel2[[#This Row],[BONUS 2]]</f>
        <v>94.285714285714292</v>
      </c>
      <c r="AA76">
        <v>1</v>
      </c>
      <c r="AE76" s="23">
        <f>SUM(Tabel2[[#This Row],[V 3]]*10+Tabel2[[#This Row],[GT 3]])/Tabel2[[#This Row],[AW 3]]*10+Tabel2[[#This Row],[BONUS 3]]</f>
        <v>0</v>
      </c>
      <c r="AG76">
        <v>1</v>
      </c>
      <c r="AK76" s="23">
        <f>SUM(Tabel2[[#This Row],[V 4]]*10+Tabel2[[#This Row],[GT 4]])/Tabel2[[#This Row],[AW 4]]*10+Tabel2[[#This Row],[BONUS 4]]</f>
        <v>0</v>
      </c>
      <c r="AM76">
        <v>1</v>
      </c>
      <c r="AQ76" s="23">
        <f>SUM(Tabel2[[#This Row],[V 5]]*10+Tabel2[[#This Row],[GT 5]])/Tabel2[[#This Row],[AW 5]]*10+Tabel2[[#This Row],[BONUS 5]]</f>
        <v>0</v>
      </c>
      <c r="AS76">
        <v>1</v>
      </c>
      <c r="AW76" s="23">
        <f>SUM(Tabel2[[#This Row],[V 6]]*10+Tabel2[[#This Row],[GT 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6" s="22">
        <v>0</v>
      </c>
      <c r="BX76" s="30">
        <f>Tabel2[[#This Row],[Diploma]]-Tabel2[[#This Row],[Uitgeschreven]]</f>
        <v>250</v>
      </c>
      <c r="BY76" s="2" t="str">
        <f>IF(BX76=0,"geen actie",CONCATENATE("diploma uitschrijven: ",BV76," punten"))</f>
        <v>diploma uitschrijven: 250 punten</v>
      </c>
      <c r="CA76" s="150">
        <f>Tabel2[[#This Row],[pnt t/m 2021/22]]</f>
        <v>210.67307692307691</v>
      </c>
      <c r="CB76" s="150">
        <f>Tabel2[[#This Row],[pnt 2022/2023]]</f>
        <v>94.285714285714292</v>
      </c>
      <c r="CC76" s="150">
        <f t="shared" si="12"/>
        <v>304.95879120879118</v>
      </c>
      <c r="CD76" s="150">
        <f>IF(Tabel2[[#This Row],[LPR 1]]&gt;0,1,0)</f>
        <v>0</v>
      </c>
      <c r="CE76" s="150">
        <f>IF(Tabel2[[#This Row],[LPR 2]]&gt;0,1,0)</f>
        <v>1</v>
      </c>
      <c r="CF76" s="150">
        <f>IF(Tabel2[[#This Row],[LPR 3]]&gt;0,1,0)</f>
        <v>0</v>
      </c>
      <c r="CG76" s="150">
        <f>IF(Tabel2[[#This Row],[LPR 4]]&gt;0,1,0)</f>
        <v>0</v>
      </c>
      <c r="CH76" s="150">
        <f>IF(Tabel2[[#This Row],[LPR 5]]&gt;0,1,0)</f>
        <v>0</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1</v>
      </c>
      <c r="CO76" s="22" t="str">
        <f t="shared" si="7"/>
        <v/>
      </c>
      <c r="CP76" s="22" t="str">
        <f t="shared" si="8"/>
        <v/>
      </c>
      <c r="CQ76" s="22" t="str">
        <f t="shared" si="9"/>
        <v/>
      </c>
      <c r="CR76" s="22" t="str">
        <f t="shared" si="10"/>
        <v/>
      </c>
      <c r="CS76" s="22" t="str">
        <f t="shared" si="11"/>
        <v/>
      </c>
    </row>
    <row r="77" spans="1:97" x14ac:dyDescent="0.3">
      <c r="A77" s="22" t="s">
        <v>135</v>
      </c>
      <c r="B77" s="22" t="s">
        <v>778</v>
      </c>
      <c r="D77" s="22" t="s">
        <v>783</v>
      </c>
      <c r="E77" t="s">
        <v>234</v>
      </c>
      <c r="F77" s="22">
        <v>119696</v>
      </c>
      <c r="G77" s="25" t="s">
        <v>369</v>
      </c>
      <c r="H77" s="142">
        <f>Tabel2[[#This Row],[pnt t/m 2021/22]]+Tabel2[[#This Row],[pnt 2022/2023]]</f>
        <v>1011.2289377289378</v>
      </c>
      <c r="I77">
        <v>2008</v>
      </c>
      <c r="J77">
        <v>2022</v>
      </c>
      <c r="K77" s="24">
        <f>Tabel2[[#This Row],[ijkdatum]]-Tabel2[[#This Row],[Geboren]]</f>
        <v>14</v>
      </c>
      <c r="L77" s="26">
        <f>Tabel2[[#This Row],[TTL 1]]+Tabel2[[#This Row],[TTL 2]]+Tabel2[[#This Row],[TTL 3]]+Tabel2[[#This Row],[TTL 4]]+Tabel2[[#This Row],[TTL 5]]+Tabel2[[#This Row],[TTL 6]]+Tabel2[[#This Row],[TTL 7]]+Tabel2[[#This Row],[TTL 8]]+Tabel2[[#This Row],[TTL 9]]+Tabel2[[#This Row],[TTL 10]]</f>
        <v>231</v>
      </c>
      <c r="M77" s="141">
        <v>780.22893772893781</v>
      </c>
      <c r="N77">
        <v>1</v>
      </c>
      <c r="O77">
        <v>10</v>
      </c>
      <c r="P77">
        <v>4</v>
      </c>
      <c r="Q77">
        <v>41</v>
      </c>
      <c r="S77" s="23">
        <f>SUM(Tabel2[[#This Row],[V 1]]*10+Tabel2[[#This Row],[GT 1]])/Tabel2[[#This Row],[AW 1]]*10+Tabel2[[#This Row],[BONUS 1]]</f>
        <v>81</v>
      </c>
      <c r="T77">
        <v>1</v>
      </c>
      <c r="U77">
        <v>1</v>
      </c>
      <c r="X77">
        <v>150</v>
      </c>
      <c r="Y77" s="23">
        <f>SUM(Tabel2[[#This Row],[V 2]]*10+Tabel2[[#This Row],[GT 2]])/Tabel2[[#This Row],[AW 2]]*10+Tabel2[[#This Row],[BONUS 2]]</f>
        <v>150</v>
      </c>
      <c r="AA77">
        <v>1</v>
      </c>
      <c r="AE77" s="23">
        <f>SUM(Tabel2[[#This Row],[V 3]]*10+Tabel2[[#This Row],[GT 3]])/Tabel2[[#This Row],[AW 3]]*10+Tabel2[[#This Row],[BONUS 3]]</f>
        <v>0</v>
      </c>
      <c r="AG77">
        <v>1</v>
      </c>
      <c r="AK77" s="23">
        <f>SUM(Tabel2[[#This Row],[V 4]]*10+Tabel2[[#This Row],[GT 4]])/Tabel2[[#This Row],[AW 4]]*10+Tabel2[[#This Row],[BONUS 4]]</f>
        <v>0</v>
      </c>
      <c r="AM77">
        <v>1</v>
      </c>
      <c r="AQ77" s="23">
        <f>SUM(Tabel2[[#This Row],[V 5]]*10+Tabel2[[#This Row],[GT 5]])/Tabel2[[#This Row],[AW 5]]*10+Tabel2[[#This Row],[BONUS 5]]</f>
        <v>0</v>
      </c>
      <c r="AS77">
        <v>1</v>
      </c>
      <c r="AW77" s="23">
        <f>SUM(Tabel2[[#This Row],[V 6]]*10+Tabel2[[#This Row],[GT 6]])/Tabel2[[#This Row],[AW 6]]*10+Tabel2[[#This Row],[BONUS 6]]</f>
        <v>0</v>
      </c>
      <c r="AY77">
        <v>1</v>
      </c>
      <c r="BC77" s="23">
        <f>SUM(Tabel2[[#This Row],[V 7]]*10+Tabel2[[#This Row],[GT 7]])/Tabel2[[#This Row],[AW 7]]*10+Tabel2[[#This Row],[BONUS 7]]</f>
        <v>0</v>
      </c>
      <c r="BE77">
        <v>1</v>
      </c>
      <c r="BI77" s="23">
        <f>SUM(Tabel2[[#This Row],[V 8]]*10+Tabel2[[#This Row],[GT 8]])/Tabel2[[#This Row],[AW 8]]*10+Tabel2[[#This Row],[BONUS 8]]</f>
        <v>0</v>
      </c>
      <c r="BK77">
        <v>1</v>
      </c>
      <c r="BO77" s="2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7" s="22">
        <v>750</v>
      </c>
      <c r="BX77" s="30">
        <f>Tabel2[[#This Row],[Diploma]]-Tabel2[[#This Row],[Uitgeschreven]]</f>
        <v>250</v>
      </c>
      <c r="BY77" s="2" t="str">
        <f>IF(BX77=0,"geen actie",CONCATENATE("diploma uitschrijven: ",BV77," punten"))</f>
        <v>diploma uitschrijven: 1000 punten</v>
      </c>
      <c r="CA77" s="150">
        <f>Tabel2[[#This Row],[pnt t/m 2021/22]]</f>
        <v>780.22893772893781</v>
      </c>
      <c r="CB77" s="150">
        <f>Tabel2[[#This Row],[pnt 2022/2023]]</f>
        <v>231</v>
      </c>
      <c r="CC77" s="150">
        <f t="shared" si="12"/>
        <v>1011.2289377289378</v>
      </c>
      <c r="CD77" s="150">
        <f>IF(Tabel2[[#This Row],[LPR 1]]&gt;0,1,0)</f>
        <v>1</v>
      </c>
      <c r="CE77" s="150">
        <f>IF(Tabel2[[#This Row],[LPR 2]]&gt;0,1,0)</f>
        <v>1</v>
      </c>
      <c r="CF77" s="150">
        <f>IF(Tabel2[[#This Row],[LPR 3]]&gt;0,1,0)</f>
        <v>0</v>
      </c>
      <c r="CG77" s="150">
        <f>IF(Tabel2[[#This Row],[LPR 4]]&gt;0,1,0)</f>
        <v>0</v>
      </c>
      <c r="CH77" s="150">
        <f>IF(Tabel2[[#This Row],[LPR 5]]&gt;0,1,0)</f>
        <v>0</v>
      </c>
      <c r="CI77" s="150">
        <f>IF(Tabel2[[#This Row],[LPR 6]]&gt;0,1,0)</f>
        <v>0</v>
      </c>
      <c r="CJ77" s="150">
        <f>IF(Tabel2[[#This Row],[LPR 7]]&gt;0,1,0)</f>
        <v>0</v>
      </c>
      <c r="CK77" s="150">
        <f>IF(Tabel2[[#This Row],[LPR 8]]&gt;0,1,0)</f>
        <v>0</v>
      </c>
      <c r="CL77" s="150">
        <f>IF(Tabel2[[#This Row],[LPR 9]]&gt;0,1,0)</f>
        <v>0</v>
      </c>
      <c r="CM77" s="150">
        <f>IF(Tabel2[[#This Row],[LPR 10]]&gt;0,1,0)</f>
        <v>0</v>
      </c>
      <c r="CN77" s="150">
        <f>SUM(Tabel7[[#This Row],[sep]:[jun]])</f>
        <v>2</v>
      </c>
      <c r="CO77" s="22" t="str">
        <f t="shared" si="7"/>
        <v>x</v>
      </c>
      <c r="CP77" s="22" t="str">
        <f t="shared" si="8"/>
        <v/>
      </c>
      <c r="CQ77" s="22" t="str">
        <f t="shared" si="9"/>
        <v/>
      </c>
      <c r="CR77" s="22" t="str">
        <f t="shared" si="10"/>
        <v/>
      </c>
      <c r="CS77" s="22" t="str">
        <f t="shared" si="11"/>
        <v/>
      </c>
    </row>
    <row r="78" spans="1:97" x14ac:dyDescent="0.3">
      <c r="A78" s="22" t="s">
        <v>143</v>
      </c>
      <c r="B78" s="22" t="s">
        <v>779</v>
      </c>
      <c r="D78" s="22" t="s">
        <v>137</v>
      </c>
      <c r="E78" t="s">
        <v>235</v>
      </c>
      <c r="F78" s="22">
        <v>119972</v>
      </c>
      <c r="G78" s="25" t="s">
        <v>151</v>
      </c>
      <c r="H78" s="23">
        <f>Tabel2[[#This Row],[pnt t/m 2021/22]]+Tabel2[[#This Row],[pnt 2022/2023]]</f>
        <v>70</v>
      </c>
      <c r="I78">
        <v>2011</v>
      </c>
      <c r="J78">
        <v>2022</v>
      </c>
      <c r="K78" s="24">
        <f>Tabel2[[#This Row],[ijkdatum]]-Tabel2[[#This Row],[Geboren]]</f>
        <v>11</v>
      </c>
      <c r="L78" s="26">
        <f>Tabel2[[#This Row],[TTL 1]]+Tabel2[[#This Row],[TTL 2]]+Tabel2[[#This Row],[TTL 3]]+Tabel2[[#This Row],[TTL 4]]+Tabel2[[#This Row],[TTL 5]]+Tabel2[[#This Row],[TTL 6]]+Tabel2[[#This Row],[TTL 7]]+Tabel2[[#This Row],[TTL 8]]+Tabel2[[#This Row],[TTL 9]]+Tabel2[[#This Row],[TTL 10]]</f>
        <v>0</v>
      </c>
      <c r="M78" s="153">
        <v>70</v>
      </c>
      <c r="O78">
        <v>1</v>
      </c>
      <c r="S78" s="153">
        <f>SUM(Tabel2[[#This Row],[V 1]]*10+Tabel2[[#This Row],[GT 1]])/Tabel2[[#This Row],[AW 1]]*10+Tabel2[[#This Row],[BONUS 1]]</f>
        <v>0</v>
      </c>
      <c r="U78">
        <v>1</v>
      </c>
      <c r="Y78" s="23">
        <f>SUM(Tabel2[[#This Row],[V 2]]*10+Tabel2[[#This Row],[GT 2]])/Tabel2[[#This Row],[AW 2]]*10+Tabel2[[#This Row],[BONUS 2]]</f>
        <v>0</v>
      </c>
      <c r="AA78">
        <v>1</v>
      </c>
      <c r="AE78" s="23">
        <f>SUM(Tabel2[[#This Row],[V 3]]*10+Tabel2[[#This Row],[GT 3]])/Tabel2[[#This Row],[AW 3]]*10+Tabel2[[#This Row],[BONUS 3]]</f>
        <v>0</v>
      </c>
      <c r="AG78">
        <v>1</v>
      </c>
      <c r="AK78" s="23">
        <f>SUM(Tabel2[[#This Row],[V 4]]*10+Tabel2[[#This Row],[GT 4]])/Tabel2[[#This Row],[AW 4]]*10+Tabel2[[#This Row],[BONUS 4]]</f>
        <v>0</v>
      </c>
      <c r="AM78">
        <v>1</v>
      </c>
      <c r="AQ78" s="23">
        <f>SUM(Tabel2[[#This Row],[V 5]]*10+Tabel2[[#This Row],[GT 5]])/Tabel2[[#This Row],[AW 5]]*10+Tabel2[[#This Row],[BONUS 5]]</f>
        <v>0</v>
      </c>
      <c r="AS78">
        <v>1</v>
      </c>
      <c r="AW78" s="23">
        <f>SUM(Tabel2[[#This Row],[V 6]]*10+Tabel2[[#This Row],[GT 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8" s="22">
        <v>0</v>
      </c>
      <c r="BX78" s="22">
        <f>Tabel2[[#This Row],[Diploma]]-Tabel2[[#This Row],[Uitgeschreven]]</f>
        <v>0</v>
      </c>
      <c r="BY78" s="155" t="str">
        <f>IF(BX78=0,"geen actie",CONCATENATE("diploma uitschrijven: ",BV78," punten"))</f>
        <v>geen actie</v>
      </c>
      <c r="CA78" s="150">
        <f>Tabel2[[#This Row],[pnt t/m 2021/22]]</f>
        <v>70</v>
      </c>
      <c r="CB78" s="150">
        <f>Tabel2[[#This Row],[pnt 2022/2023]]</f>
        <v>0</v>
      </c>
      <c r="CC78" s="150">
        <f t="shared" si="12"/>
        <v>70</v>
      </c>
      <c r="CD78" s="150">
        <f>IF(Tabel2[[#This Row],[LPR 1]]&gt;0,1,0)</f>
        <v>0</v>
      </c>
      <c r="CE78" s="150">
        <f>IF(Tabel2[[#This Row],[LPR 2]]&gt;0,1,0)</f>
        <v>0</v>
      </c>
      <c r="CF78" s="150">
        <f>IF(Tabel2[[#This Row],[LPR 3]]&gt;0,1,0)</f>
        <v>0</v>
      </c>
      <c r="CG78" s="150">
        <f>IF(Tabel2[[#This Row],[LPR 4]]&gt;0,1,0)</f>
        <v>0</v>
      </c>
      <c r="CH78" s="150">
        <f>IF(Tabel2[[#This Row],[LPR 5]]&gt;0,1,0)</f>
        <v>0</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0</v>
      </c>
      <c r="CO78" s="22" t="str">
        <f t="shared" si="7"/>
        <v/>
      </c>
      <c r="CP78" s="22" t="str">
        <f t="shared" si="8"/>
        <v/>
      </c>
      <c r="CQ78" s="22" t="str">
        <f t="shared" si="9"/>
        <v/>
      </c>
      <c r="CR78" s="22" t="str">
        <f t="shared" si="10"/>
        <v/>
      </c>
      <c r="CS78" s="22" t="str">
        <f t="shared" si="11"/>
        <v/>
      </c>
    </row>
    <row r="79" spans="1:97" x14ac:dyDescent="0.3">
      <c r="A79" s="22" t="s">
        <v>140</v>
      </c>
      <c r="B79" s="22" t="s">
        <v>778</v>
      </c>
      <c r="D79" s="22" t="s">
        <v>137</v>
      </c>
      <c r="E79" t="s">
        <v>236</v>
      </c>
      <c r="F79" s="22">
        <v>120096</v>
      </c>
      <c r="G79" s="25" t="s">
        <v>237</v>
      </c>
      <c r="H79" s="142">
        <f>Tabel2[[#This Row],[pnt t/m 2021/22]]+Tabel2[[#This Row],[pnt 2022/2023]]</f>
        <v>465.09523809523807</v>
      </c>
      <c r="I79">
        <v>2011</v>
      </c>
      <c r="J79">
        <v>2022</v>
      </c>
      <c r="K79" s="24">
        <f>Tabel2[[#This Row],[ijkdatum]]-Tabel2[[#This Row],[Geboren]]</f>
        <v>11</v>
      </c>
      <c r="L79" s="26">
        <f>Tabel2[[#This Row],[TTL 1]]+Tabel2[[#This Row],[TTL 2]]+Tabel2[[#This Row],[TTL 3]]+Tabel2[[#This Row],[TTL 4]]+Tabel2[[#This Row],[TTL 5]]+Tabel2[[#This Row],[TTL 6]]+Tabel2[[#This Row],[TTL 7]]+Tabel2[[#This Row],[TTL 8]]+Tabel2[[#This Row],[TTL 9]]+Tabel2[[#This Row],[TTL 10]]</f>
        <v>0</v>
      </c>
      <c r="M79" s="141">
        <v>465.09523809523807</v>
      </c>
      <c r="O79">
        <v>1</v>
      </c>
      <c r="S79" s="23">
        <f>SUM(Tabel2[[#This Row],[V 1]]*10+Tabel2[[#This Row],[GT 1]])/Tabel2[[#This Row],[AW 1]]*10+Tabel2[[#This Row],[BONUS 1]]</f>
        <v>0</v>
      </c>
      <c r="U79">
        <v>1</v>
      </c>
      <c r="Y79" s="23">
        <f>SUM(Tabel2[[#This Row],[V 2]]*10+Tabel2[[#This Row],[GT 2]])/Tabel2[[#This Row],[AW 2]]*10+Tabel2[[#This Row],[BONUS 2]]</f>
        <v>0</v>
      </c>
      <c r="AA79">
        <v>1</v>
      </c>
      <c r="AE79" s="23">
        <f>SUM(Tabel2[[#This Row],[V 3]]*10+Tabel2[[#This Row],[GT 3]])/Tabel2[[#This Row],[AW 3]]*10+Tabel2[[#This Row],[BONUS 3]]</f>
        <v>0</v>
      </c>
      <c r="AG79">
        <v>1</v>
      </c>
      <c r="AK79" s="23">
        <f>SUM(Tabel2[[#This Row],[V 4]]*10+Tabel2[[#This Row],[GT 4]])/Tabel2[[#This Row],[AW 4]]*10+Tabel2[[#This Row],[BONUS 4]]</f>
        <v>0</v>
      </c>
      <c r="AM79">
        <v>1</v>
      </c>
      <c r="AQ79" s="23">
        <f>SUM(Tabel2[[#This Row],[V 5]]*10+Tabel2[[#This Row],[GT 5]])/Tabel2[[#This Row],[AW 5]]*10+Tabel2[[#This Row],[BONUS 5]]</f>
        <v>0</v>
      </c>
      <c r="AS79">
        <v>1</v>
      </c>
      <c r="AW79" s="23">
        <f>SUM(Tabel2[[#This Row],[V 6]]*10+Tabel2[[#This Row],[GT 6]])/Tabel2[[#This Row],[AW 6]]*10+Tabel2[[#This Row],[BONUS 6]]</f>
        <v>0</v>
      </c>
      <c r="AY79">
        <v>1</v>
      </c>
      <c r="BC79" s="23">
        <f>SUM(Tabel2[[#This Row],[V 7]]*10+Tabel2[[#This Row],[GT 7]])/Tabel2[[#This Row],[AW 7]]*10+Tabel2[[#This Row],[BONUS 7]]</f>
        <v>0</v>
      </c>
      <c r="BE79">
        <v>1</v>
      </c>
      <c r="BI79" s="23">
        <f>SUM(Tabel2[[#This Row],[V 8]]*10+Tabel2[[#This Row],[GT 8]])/Tabel2[[#This Row],[AW 8]]*10+Tabel2[[#This Row],[BONUS 8]]</f>
        <v>0</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9" s="22">
        <v>250</v>
      </c>
      <c r="BX79" s="30">
        <f>Tabel2[[#This Row],[Diploma]]-Tabel2[[#This Row],[Uitgeschreven]]</f>
        <v>0</v>
      </c>
      <c r="BY79" s="2" t="str">
        <f>IF(BX79=0,"geen actie",CONCATENATE("diploma uitschrijven: ",BV79," punten"))</f>
        <v>geen actie</v>
      </c>
      <c r="CA79" s="150">
        <f>Tabel2[[#This Row],[pnt t/m 2021/22]]</f>
        <v>465.09523809523807</v>
      </c>
      <c r="CB79" s="150">
        <f>Tabel2[[#This Row],[pnt 2022/2023]]</f>
        <v>0</v>
      </c>
      <c r="CC79" s="150">
        <f t="shared" si="12"/>
        <v>465.09523809523807</v>
      </c>
      <c r="CD79" s="150">
        <f>IF(Tabel2[[#This Row],[LPR 1]]&gt;0,1,0)</f>
        <v>0</v>
      </c>
      <c r="CE79" s="150">
        <f>IF(Tabel2[[#This Row],[LPR 2]]&gt;0,1,0)</f>
        <v>0</v>
      </c>
      <c r="CF79" s="150">
        <f>IF(Tabel2[[#This Row],[LPR 3]]&gt;0,1,0)</f>
        <v>0</v>
      </c>
      <c r="CG79" s="150">
        <f>IF(Tabel2[[#This Row],[LPR 4]]&gt;0,1,0)</f>
        <v>0</v>
      </c>
      <c r="CH79" s="150">
        <f>IF(Tabel2[[#This Row],[LPR 5]]&gt;0,1,0)</f>
        <v>0</v>
      </c>
      <c r="CI79" s="150">
        <f>IF(Tabel2[[#This Row],[LPR 6]]&gt;0,1,0)</f>
        <v>0</v>
      </c>
      <c r="CJ79" s="150">
        <f>IF(Tabel2[[#This Row],[LPR 7]]&gt;0,1,0)</f>
        <v>0</v>
      </c>
      <c r="CK79" s="150">
        <f>IF(Tabel2[[#This Row],[LPR 8]]&gt;0,1,0)</f>
        <v>0</v>
      </c>
      <c r="CL79" s="150">
        <f>IF(Tabel2[[#This Row],[LPR 9]]&gt;0,1,0)</f>
        <v>0</v>
      </c>
      <c r="CM79" s="150">
        <f>IF(Tabel2[[#This Row],[LPR 10]]&gt;0,1,0)</f>
        <v>0</v>
      </c>
      <c r="CN79" s="150">
        <f>SUM(Tabel7[[#This Row],[sep]:[jun]])</f>
        <v>0</v>
      </c>
      <c r="CO79" s="22" t="str">
        <f t="shared" si="7"/>
        <v/>
      </c>
      <c r="CP79" s="22" t="str">
        <f t="shared" si="8"/>
        <v/>
      </c>
      <c r="CQ79" s="22" t="str">
        <f t="shared" si="9"/>
        <v/>
      </c>
      <c r="CR79" s="22" t="str">
        <f t="shared" si="10"/>
        <v/>
      </c>
      <c r="CS79" s="22" t="str">
        <f t="shared" si="11"/>
        <v/>
      </c>
    </row>
    <row r="80" spans="1:97" x14ac:dyDescent="0.3">
      <c r="A80" s="22" t="s">
        <v>140</v>
      </c>
      <c r="B80" s="22" t="s">
        <v>778</v>
      </c>
      <c r="D80" s="22" t="s">
        <v>137</v>
      </c>
      <c r="E80" t="s">
        <v>786</v>
      </c>
      <c r="F80" s="22">
        <v>120765</v>
      </c>
      <c r="G80" s="25" t="s">
        <v>147</v>
      </c>
      <c r="H80" s="142">
        <f>Tabel2[[#This Row],[pnt t/m 2021/22]]+Tabel2[[#This Row],[pnt 2022/2023]]</f>
        <v>134.28571428571428</v>
      </c>
      <c r="I80">
        <v>2012</v>
      </c>
      <c r="J80">
        <v>2023</v>
      </c>
      <c r="K80" s="24">
        <f>Tabel2[[#This Row],[ijkdatum]]-Tabel2[[#This Row],[Geboren]]</f>
        <v>11</v>
      </c>
      <c r="L80" s="26">
        <f>Tabel2[[#This Row],[TTL 1]]+Tabel2[[#This Row],[TTL 2]]+Tabel2[[#This Row],[TTL 3]]+Tabel2[[#This Row],[TTL 4]]+Tabel2[[#This Row],[TTL 5]]+Tabel2[[#This Row],[TTL 6]]+Tabel2[[#This Row],[TTL 7]]+Tabel2[[#This Row],[TTL 8]]+Tabel2[[#This Row],[TTL 9]]+Tabel2[[#This Row],[TTL 10]]</f>
        <v>134.28571428571428</v>
      </c>
      <c r="M80" s="141"/>
      <c r="O80">
        <v>1</v>
      </c>
      <c r="S80" s="23">
        <f>SUM(Tabel2[[#This Row],[V 1]]*10+Tabel2[[#This Row],[GT 1]])/Tabel2[[#This Row],[AW 1]]*10+Tabel2[[#This Row],[BONUS 1]]</f>
        <v>0</v>
      </c>
      <c r="T80">
        <v>7</v>
      </c>
      <c r="U80">
        <v>7</v>
      </c>
      <c r="V80">
        <v>6</v>
      </c>
      <c r="W80">
        <v>34</v>
      </c>
      <c r="Y80" s="23">
        <f>SUM(Tabel2[[#This Row],[V 2]]*10+Tabel2[[#This Row],[GT 2]])/Tabel2[[#This Row],[AW 2]]*10+Tabel2[[#This Row],[BONUS 2]]</f>
        <v>134.28571428571428</v>
      </c>
      <c r="AA80">
        <v>1</v>
      </c>
      <c r="AE80" s="23">
        <f>SUM(Tabel2[[#This Row],[V 3]]*10+Tabel2[[#This Row],[GT 3]])/Tabel2[[#This Row],[AW 3]]*10+Tabel2[[#This Row],[BONUS 3]]</f>
        <v>0</v>
      </c>
      <c r="AG80">
        <v>1</v>
      </c>
      <c r="AK80" s="23">
        <f>SUM(Tabel2[[#This Row],[V 4]]*10+Tabel2[[#This Row],[GT 4]])/Tabel2[[#This Row],[AW 4]]*10+Tabel2[[#This Row],[BONUS 4]]</f>
        <v>0</v>
      </c>
      <c r="AM80">
        <v>1</v>
      </c>
      <c r="AQ80" s="23">
        <f>SUM(Tabel2[[#This Row],[V 5]]*10+Tabel2[[#This Row],[GT 5]])/Tabel2[[#This Row],[AW 5]]*10+Tabel2[[#This Row],[BONUS 5]]</f>
        <v>0</v>
      </c>
      <c r="AS80">
        <v>1</v>
      </c>
      <c r="AW80" s="23">
        <f>SUM(Tabel2[[#This Row],[V 6]]*10+Tabel2[[#This Row],[GT 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0" s="22">
        <v>0</v>
      </c>
      <c r="BX80" s="30">
        <f>Tabel2[[#This Row],[Diploma]]-Tabel2[[#This Row],[Uitgeschreven]]</f>
        <v>0</v>
      </c>
      <c r="BY80" s="2" t="str">
        <f>IF(BX80=0,"geen actie",CONCATENATE("diploma uitschrijven: ",BV80," punten"))</f>
        <v>geen actie</v>
      </c>
      <c r="CA80" s="150">
        <f>Tabel2[[#This Row],[pnt t/m 2021/22]]</f>
        <v>0</v>
      </c>
      <c r="CB80" s="150">
        <f>Tabel2[[#This Row],[pnt 2022/2023]]</f>
        <v>134.28571428571428</v>
      </c>
      <c r="CC80" s="150">
        <f t="shared" si="12"/>
        <v>134.28571428571428</v>
      </c>
      <c r="CD80" s="150">
        <f>IF(Tabel2[[#This Row],[LPR 1]]&gt;0,1,0)</f>
        <v>0</v>
      </c>
      <c r="CE80" s="150">
        <f>IF(Tabel2[[#This Row],[LPR 2]]&gt;0,1,0)</f>
        <v>1</v>
      </c>
      <c r="CF80" s="150">
        <f>IF(Tabel2[[#This Row],[LPR 3]]&gt;0,1,0)</f>
        <v>0</v>
      </c>
      <c r="CG80" s="150">
        <f>IF(Tabel2[[#This Row],[LPR 4]]&gt;0,1,0)</f>
        <v>0</v>
      </c>
      <c r="CH80" s="150">
        <f>IF(Tabel2[[#This Row],[LPR 5]]&gt;0,1,0)</f>
        <v>0</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1</v>
      </c>
      <c r="CO80" s="22" t="str">
        <f t="shared" si="7"/>
        <v/>
      </c>
      <c r="CP80" s="22" t="str">
        <f t="shared" si="8"/>
        <v/>
      </c>
      <c r="CQ80" s="22" t="str">
        <f t="shared" si="9"/>
        <v/>
      </c>
      <c r="CR80" s="22" t="str">
        <f t="shared" si="10"/>
        <v/>
      </c>
      <c r="CS80" s="22" t="str">
        <f t="shared" si="11"/>
        <v/>
      </c>
    </row>
    <row r="81" spans="1:97" x14ac:dyDescent="0.3">
      <c r="A81" s="22" t="s">
        <v>140</v>
      </c>
      <c r="B81" s="22" t="s">
        <v>778</v>
      </c>
      <c r="D81" s="22" t="s">
        <v>137</v>
      </c>
      <c r="E81" t="s">
        <v>238</v>
      </c>
      <c r="F81" s="22">
        <v>120142</v>
      </c>
      <c r="G81" s="25" t="s">
        <v>196</v>
      </c>
      <c r="H81" s="142">
        <f>Tabel2[[#This Row],[pnt t/m 2021/22]]+Tabel2[[#This Row],[pnt 2022/2023]]</f>
        <v>427.17857142857144</v>
      </c>
      <c r="I81">
        <v>2011</v>
      </c>
      <c r="J81">
        <v>2022</v>
      </c>
      <c r="K81" s="24">
        <f>Tabel2[[#This Row],[ijkdatum]]-Tabel2[[#This Row],[Geboren]]</f>
        <v>11</v>
      </c>
      <c r="L81" s="26">
        <f>Tabel2[[#This Row],[TTL 1]]+Tabel2[[#This Row],[TTL 2]]+Tabel2[[#This Row],[TTL 3]]+Tabel2[[#This Row],[TTL 4]]+Tabel2[[#This Row],[TTL 5]]+Tabel2[[#This Row],[TTL 6]]+Tabel2[[#This Row],[TTL 7]]+Tabel2[[#This Row],[TTL 8]]+Tabel2[[#This Row],[TTL 9]]+Tabel2[[#This Row],[TTL 10]]</f>
        <v>0</v>
      </c>
      <c r="M81" s="141">
        <v>427.17857142857144</v>
      </c>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G81">
        <v>1</v>
      </c>
      <c r="AK81" s="23">
        <f>SUM(Tabel2[[#This Row],[V 4]]*10+Tabel2[[#This Row],[GT 4]])/Tabel2[[#This Row],[AW 4]]*10+Tabel2[[#This Row],[BONUS 4]]</f>
        <v>0</v>
      </c>
      <c r="AM81">
        <v>1</v>
      </c>
      <c r="AQ81" s="23">
        <f>SUM(Tabel2[[#This Row],[V 5]]*10+Tabel2[[#This Row],[GT 5]])/Tabel2[[#This Row],[AW 5]]*10+Tabel2[[#This Row],[BONUS 5]]</f>
        <v>0</v>
      </c>
      <c r="AS81">
        <v>1</v>
      </c>
      <c r="AW81" s="23">
        <f>SUM(Tabel2[[#This Row],[V 6]]*10+Tabel2[[#This Row],[GT 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1" s="22">
        <v>250</v>
      </c>
      <c r="BX81" s="30">
        <f>Tabel2[[#This Row],[Diploma]]-Tabel2[[#This Row],[Uitgeschreven]]</f>
        <v>0</v>
      </c>
      <c r="BY81" s="2" t="str">
        <f>IF(BX81=0,"geen actie",CONCATENATE("diploma uitschrijven: ",BV81," punten"))</f>
        <v>geen actie</v>
      </c>
      <c r="CA81" s="150">
        <f>Tabel2[[#This Row],[pnt t/m 2021/22]]</f>
        <v>427.17857142857144</v>
      </c>
      <c r="CB81" s="150">
        <f>Tabel2[[#This Row],[pnt 2022/2023]]</f>
        <v>0</v>
      </c>
      <c r="CC81" s="150">
        <f t="shared" si="12"/>
        <v>427.17857142857144</v>
      </c>
      <c r="CD81" s="150">
        <f>IF(Tabel2[[#This Row],[LPR 1]]&gt;0,1,0)</f>
        <v>0</v>
      </c>
      <c r="CE81" s="150">
        <f>IF(Tabel2[[#This Row],[LPR 2]]&gt;0,1,0)</f>
        <v>0</v>
      </c>
      <c r="CF81" s="150">
        <f>IF(Tabel2[[#This Row],[LPR 3]]&gt;0,1,0)</f>
        <v>0</v>
      </c>
      <c r="CG81" s="150">
        <f>IF(Tabel2[[#This Row],[LPR 4]]&gt;0,1,0)</f>
        <v>0</v>
      </c>
      <c r="CH81" s="150">
        <f>IF(Tabel2[[#This Row],[LPR 5]]&gt;0,1,0)</f>
        <v>0</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0</v>
      </c>
      <c r="CO81" s="22" t="str">
        <f t="shared" si="7"/>
        <v/>
      </c>
      <c r="CP81" s="22" t="str">
        <f t="shared" si="8"/>
        <v/>
      </c>
      <c r="CQ81" s="22" t="str">
        <f t="shared" si="9"/>
        <v/>
      </c>
      <c r="CR81" s="22" t="str">
        <f t="shared" si="10"/>
        <v/>
      </c>
      <c r="CS81" s="22" t="str">
        <f t="shared" si="11"/>
        <v/>
      </c>
    </row>
    <row r="82" spans="1:97" x14ac:dyDescent="0.3">
      <c r="A82" s="22" t="s">
        <v>140</v>
      </c>
      <c r="B82" s="22" t="s">
        <v>779</v>
      </c>
      <c r="D82" s="22" t="s">
        <v>137</v>
      </c>
      <c r="E82" t="s">
        <v>239</v>
      </c>
      <c r="F82" s="22">
        <v>119751</v>
      </c>
      <c r="G82" s="25" t="s">
        <v>147</v>
      </c>
      <c r="H82" s="142">
        <f>Tabel2[[#This Row],[pnt t/m 2021/22]]+Tabel2[[#This Row],[pnt 2022/2023]]</f>
        <v>865.56929181929172</v>
      </c>
      <c r="I82">
        <v>2012</v>
      </c>
      <c r="J82">
        <v>2022</v>
      </c>
      <c r="K82" s="24">
        <f>Tabel2[[#This Row],[ijkdatum]]-Tabel2[[#This Row],[Geboren]]</f>
        <v>10</v>
      </c>
      <c r="L82" s="26">
        <f>Tabel2[[#This Row],[TTL 1]]+Tabel2[[#This Row],[TTL 2]]+Tabel2[[#This Row],[TTL 3]]+Tabel2[[#This Row],[TTL 4]]+Tabel2[[#This Row],[TTL 5]]+Tabel2[[#This Row],[TTL 6]]+Tabel2[[#This Row],[TTL 7]]+Tabel2[[#This Row],[TTL 8]]+Tabel2[[#This Row],[TTL 9]]+Tabel2[[#This Row],[TTL 10]]</f>
        <v>0</v>
      </c>
      <c r="M82" s="141">
        <v>865.56929181929172</v>
      </c>
      <c r="O82">
        <v>1</v>
      </c>
      <c r="S82" s="23">
        <f>SUM(Tabel2[[#This Row],[V 1]]*10+Tabel2[[#This Row],[GT 1]])/Tabel2[[#This Row],[AW 1]]*10+Tabel2[[#This Row],[BONUS 1]]</f>
        <v>0</v>
      </c>
      <c r="U82">
        <v>1</v>
      </c>
      <c r="Y82" s="23">
        <f>SUM(Tabel2[[#This Row],[V 2]]*10+Tabel2[[#This Row],[GT 2]])/Tabel2[[#This Row],[AW 2]]*10+Tabel2[[#This Row],[BONUS 2]]</f>
        <v>0</v>
      </c>
      <c r="AA82">
        <v>1</v>
      </c>
      <c r="AE82" s="23">
        <f>SUM(Tabel2[[#This Row],[V 3]]*10+Tabel2[[#This Row],[GT 3]])/Tabel2[[#This Row],[AW 3]]*10+Tabel2[[#This Row],[BONUS 3]]</f>
        <v>0</v>
      </c>
      <c r="AG82">
        <v>1</v>
      </c>
      <c r="AK82" s="23">
        <f>SUM(Tabel2[[#This Row],[V 4]]*10+Tabel2[[#This Row],[GT 4]])/Tabel2[[#This Row],[AW 4]]*10+Tabel2[[#This Row],[BONUS 4]]</f>
        <v>0</v>
      </c>
      <c r="AM82">
        <v>1</v>
      </c>
      <c r="AQ82" s="23">
        <f>SUM(Tabel2[[#This Row],[V 5]]*10+Tabel2[[#This Row],[GT 5]])/Tabel2[[#This Row],[AW 5]]*10+Tabel2[[#This Row],[BONUS 5]]</f>
        <v>0</v>
      </c>
      <c r="AS82">
        <v>1</v>
      </c>
      <c r="AW82" s="23">
        <f>SUM(Tabel2[[#This Row],[V 6]]*10+Tabel2[[#This Row],[GT 6]])/Tabel2[[#This Row],[AW 6]]*10+Tabel2[[#This Row],[BONUS 6]]</f>
        <v>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82" s="22">
        <v>750</v>
      </c>
      <c r="BX82" s="30">
        <f>Tabel2[[#This Row],[Diploma]]-Tabel2[[#This Row],[Uitgeschreven]]</f>
        <v>0</v>
      </c>
      <c r="BY82" s="2" t="str">
        <f>IF(BX82=0,"geen actie",CONCATENATE("diploma uitschrijven: ",BV82," punten"))</f>
        <v>geen actie</v>
      </c>
      <c r="CA82" s="150">
        <f>Tabel2[[#This Row],[pnt t/m 2021/22]]</f>
        <v>865.56929181929172</v>
      </c>
      <c r="CB82" s="150">
        <f>Tabel2[[#This Row],[pnt 2022/2023]]</f>
        <v>0</v>
      </c>
      <c r="CC82" s="150">
        <f t="shared" si="12"/>
        <v>865.56929181929172</v>
      </c>
      <c r="CD82" s="150">
        <f>IF(Tabel2[[#This Row],[LPR 1]]&gt;0,1,0)</f>
        <v>0</v>
      </c>
      <c r="CE82" s="150">
        <f>IF(Tabel2[[#This Row],[LPR 2]]&gt;0,1,0)</f>
        <v>0</v>
      </c>
      <c r="CF82" s="150">
        <f>IF(Tabel2[[#This Row],[LPR 3]]&gt;0,1,0)</f>
        <v>0</v>
      </c>
      <c r="CG82" s="150">
        <f>IF(Tabel2[[#This Row],[LPR 4]]&gt;0,1,0)</f>
        <v>0</v>
      </c>
      <c r="CH82" s="150">
        <f>IF(Tabel2[[#This Row],[LPR 5]]&gt;0,1,0)</f>
        <v>0</v>
      </c>
      <c r="CI82" s="150">
        <f>IF(Tabel2[[#This Row],[LPR 6]]&gt;0,1,0)</f>
        <v>0</v>
      </c>
      <c r="CJ82" s="150">
        <f>IF(Tabel2[[#This Row],[LPR 7]]&gt;0,1,0)</f>
        <v>0</v>
      </c>
      <c r="CK82" s="150">
        <f>IF(Tabel2[[#This Row],[LPR 8]]&gt;0,1,0)</f>
        <v>0</v>
      </c>
      <c r="CL82" s="150">
        <f>IF(Tabel2[[#This Row],[LPR 9]]&gt;0,1,0)</f>
        <v>0</v>
      </c>
      <c r="CM82" s="150">
        <f>IF(Tabel2[[#This Row],[LPR 10]]&gt;0,1,0)</f>
        <v>0</v>
      </c>
      <c r="CN82" s="150">
        <f>SUM(Tabel7[[#This Row],[sep]:[jun]])</f>
        <v>0</v>
      </c>
      <c r="CO82" s="22" t="str">
        <f t="shared" si="7"/>
        <v/>
      </c>
      <c r="CP82" s="22" t="str">
        <f t="shared" si="8"/>
        <v/>
      </c>
      <c r="CQ82" s="22" t="str">
        <f t="shared" si="9"/>
        <v/>
      </c>
      <c r="CR82" s="22" t="str">
        <f t="shared" si="10"/>
        <v/>
      </c>
      <c r="CS82" s="22" t="str">
        <f t="shared" si="11"/>
        <v/>
      </c>
    </row>
    <row r="83" spans="1:97" x14ac:dyDescent="0.3">
      <c r="A83" s="22" t="s">
        <v>143</v>
      </c>
      <c r="B83" s="22" t="s">
        <v>778</v>
      </c>
      <c r="D83" s="22" t="s">
        <v>783</v>
      </c>
      <c r="E83" t="s">
        <v>240</v>
      </c>
      <c r="F83" s="22">
        <v>117553</v>
      </c>
      <c r="G83" s="25" t="s">
        <v>151</v>
      </c>
      <c r="H83" s="142">
        <f>Tabel2[[#This Row],[pnt t/m 2021/22]]+Tabel2[[#This Row],[pnt 2022/2023]]</f>
        <v>2524.6785714285716</v>
      </c>
      <c r="I83">
        <v>2009</v>
      </c>
      <c r="J83">
        <v>2022</v>
      </c>
      <c r="K83" s="24">
        <f>Tabel2[[#This Row],[ijkdatum]]-Tabel2[[#This Row],[Geboren]]</f>
        <v>13</v>
      </c>
      <c r="L83" s="26">
        <f>Tabel2[[#This Row],[TTL 1]]+Tabel2[[#This Row],[TTL 2]]+Tabel2[[#This Row],[TTL 3]]+Tabel2[[#This Row],[TTL 4]]+Tabel2[[#This Row],[TTL 5]]+Tabel2[[#This Row],[TTL 6]]+Tabel2[[#This Row],[TTL 7]]+Tabel2[[#This Row],[TTL 8]]+Tabel2[[#This Row],[TTL 9]]+Tabel2[[#This Row],[TTL 10]]</f>
        <v>150</v>
      </c>
      <c r="M83" s="151">
        <v>2374.6785714285716</v>
      </c>
      <c r="N83">
        <v>6</v>
      </c>
      <c r="O83">
        <v>8</v>
      </c>
      <c r="P83">
        <v>8</v>
      </c>
      <c r="Q83">
        <v>40</v>
      </c>
      <c r="S83" s="23">
        <f>SUM(Tabel2[[#This Row],[V 1]]*10+Tabel2[[#This Row],[GT 1]])/Tabel2[[#This Row],[AW 1]]*10+Tabel2[[#This Row],[BONUS 1]]</f>
        <v>150</v>
      </c>
      <c r="U83">
        <v>1</v>
      </c>
      <c r="Y83" s="23">
        <f>SUM(Tabel2[[#This Row],[V 2]]*10+Tabel2[[#This Row],[GT 2]])/Tabel2[[#This Row],[AW 2]]*10+Tabel2[[#This Row],[BONUS 2]]</f>
        <v>0</v>
      </c>
      <c r="AA83">
        <v>1</v>
      </c>
      <c r="AE83" s="23">
        <f>SUM(Tabel2[[#This Row],[V 3]]*10+Tabel2[[#This Row],[GT 3]])/Tabel2[[#This Row],[AW 3]]*10+Tabel2[[#This Row],[BONUS 3]]</f>
        <v>0</v>
      </c>
      <c r="AG83">
        <v>1</v>
      </c>
      <c r="AK83" s="23">
        <f>SUM(Tabel2[[#This Row],[V 4]]*10+Tabel2[[#This Row],[GT 4]])/Tabel2[[#This Row],[AW 4]]*10+Tabel2[[#This Row],[BONUS 4]]</f>
        <v>0</v>
      </c>
      <c r="AM83">
        <v>1</v>
      </c>
      <c r="AQ83" s="23">
        <f>SUM(Tabel2[[#This Row],[V 5]]*10+Tabel2[[#This Row],[GT 5]])/Tabel2[[#This Row],[AW 5]]*10+Tabel2[[#This Row],[BONUS 5]]</f>
        <v>0</v>
      </c>
      <c r="AS83">
        <v>1</v>
      </c>
      <c r="AW83" s="23">
        <f>SUM(Tabel2[[#This Row],[V 6]]*10+Tabel2[[#This Row],[GT 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83" s="22">
        <v>2500</v>
      </c>
      <c r="BX83" s="30">
        <f>Tabel2[[#This Row],[Diploma]]-Tabel2[[#This Row],[Uitgeschreven]]</f>
        <v>0</v>
      </c>
      <c r="BY83" s="2" t="str">
        <f>IF(BX83=0,"geen actie",CONCATENATE("diploma uitschrijven: ",BV83," punten"))</f>
        <v>geen actie</v>
      </c>
      <c r="CA83" s="150">
        <f>Tabel2[[#This Row],[pnt t/m 2021/22]]</f>
        <v>2374.6785714285716</v>
      </c>
      <c r="CB83" s="150">
        <f>Tabel2[[#This Row],[pnt 2022/2023]]</f>
        <v>150</v>
      </c>
      <c r="CC83" s="150">
        <f t="shared" si="12"/>
        <v>2524.6785714285716</v>
      </c>
      <c r="CD83" s="150">
        <f>IF(Tabel2[[#This Row],[LPR 1]]&gt;0,1,0)</f>
        <v>1</v>
      </c>
      <c r="CE83" s="150">
        <f>IF(Tabel2[[#This Row],[LPR 2]]&gt;0,1,0)</f>
        <v>0</v>
      </c>
      <c r="CF83" s="150">
        <f>IF(Tabel2[[#This Row],[LPR 3]]&gt;0,1,0)</f>
        <v>0</v>
      </c>
      <c r="CG83" s="150">
        <f>IF(Tabel2[[#This Row],[LPR 4]]&gt;0,1,0)</f>
        <v>0</v>
      </c>
      <c r="CH83" s="150">
        <f>IF(Tabel2[[#This Row],[LPR 5]]&gt;0,1,0)</f>
        <v>0</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1</v>
      </c>
      <c r="CO83" s="22" t="str">
        <f t="shared" si="7"/>
        <v/>
      </c>
      <c r="CP83" s="22" t="str">
        <f t="shared" si="8"/>
        <v/>
      </c>
      <c r="CQ83" s="22" t="str">
        <f t="shared" si="9"/>
        <v/>
      </c>
      <c r="CR83" s="22" t="str">
        <f t="shared" si="10"/>
        <v>x</v>
      </c>
      <c r="CS83" s="22" t="str">
        <f t="shared" si="11"/>
        <v/>
      </c>
    </row>
    <row r="84" spans="1:97" x14ac:dyDescent="0.3">
      <c r="A84" s="22" t="s">
        <v>145</v>
      </c>
      <c r="B84" s="22" t="s">
        <v>778</v>
      </c>
      <c r="D84" s="22" t="s">
        <v>137</v>
      </c>
      <c r="E84" t="s">
        <v>241</v>
      </c>
      <c r="F84" s="22">
        <v>118918</v>
      </c>
      <c r="G84" s="25" t="s">
        <v>161</v>
      </c>
      <c r="H84" s="142">
        <f>Tabel2[[#This Row],[pnt t/m 2021/22]]+Tabel2[[#This Row],[pnt 2022/2023]]</f>
        <v>342.29545454545456</v>
      </c>
      <c r="I84">
        <v>2008</v>
      </c>
      <c r="J84">
        <v>2022</v>
      </c>
      <c r="K84" s="24">
        <f>Tabel2[[#This Row],[ijkdatum]]-Tabel2[[#This Row],[Geboren]]</f>
        <v>14</v>
      </c>
      <c r="L84" s="26">
        <f>Tabel2[[#This Row],[TTL 1]]+Tabel2[[#This Row],[TTL 2]]+Tabel2[[#This Row],[TTL 3]]+Tabel2[[#This Row],[TTL 4]]+Tabel2[[#This Row],[TTL 5]]+Tabel2[[#This Row],[TTL 6]]+Tabel2[[#This Row],[TTL 7]]+Tabel2[[#This Row],[TTL 8]]+Tabel2[[#This Row],[TTL 9]]+Tabel2[[#This Row],[TTL 10]]</f>
        <v>0</v>
      </c>
      <c r="M84" s="141">
        <v>342.29545454545456</v>
      </c>
      <c r="O84">
        <v>1</v>
      </c>
      <c r="S84" s="23">
        <f>SUM(Tabel2[[#This Row],[V 1]]*10+Tabel2[[#This Row],[GT 1]])/Tabel2[[#This Row],[AW 1]]*10+Tabel2[[#This Row],[BONUS 1]]</f>
        <v>0</v>
      </c>
      <c r="U84">
        <v>1</v>
      </c>
      <c r="Y84" s="23">
        <f>SUM(Tabel2[[#This Row],[V 2]]*10+Tabel2[[#This Row],[GT 2]])/Tabel2[[#This Row],[AW 2]]*10+Tabel2[[#This Row],[BONUS 2]]</f>
        <v>0</v>
      </c>
      <c r="AA84">
        <v>1</v>
      </c>
      <c r="AE84" s="23">
        <f>SUM(Tabel2[[#This Row],[V 3]]*10+Tabel2[[#This Row],[GT 3]])/Tabel2[[#This Row],[AW 3]]*10+Tabel2[[#This Row],[BONUS 3]]</f>
        <v>0</v>
      </c>
      <c r="AG84">
        <v>1</v>
      </c>
      <c r="AK84" s="23">
        <f>SUM(Tabel2[[#This Row],[V 4]]*10+Tabel2[[#This Row],[GT 4]])/Tabel2[[#This Row],[AW 4]]*10+Tabel2[[#This Row],[BONUS 4]]</f>
        <v>0</v>
      </c>
      <c r="AM84">
        <v>1</v>
      </c>
      <c r="AQ84" s="23">
        <f>SUM(Tabel2[[#This Row],[V 5]]*10+Tabel2[[#This Row],[GT 5]])/Tabel2[[#This Row],[AW 5]]*10+Tabel2[[#This Row],[BONUS 5]]</f>
        <v>0</v>
      </c>
      <c r="AS84">
        <v>1</v>
      </c>
      <c r="AW84" s="23">
        <f>SUM(Tabel2[[#This Row],[V 6]]*10+Tabel2[[#This Row],[GT 6]])/Tabel2[[#This Row],[AW 6]]*10+Tabel2[[#This Row],[BONUS 6]]</f>
        <v>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4" s="22">
        <v>250</v>
      </c>
      <c r="BX84" s="30">
        <f>Tabel2[[#This Row],[Diploma]]-Tabel2[[#This Row],[Uitgeschreven]]</f>
        <v>0</v>
      </c>
      <c r="BY84" s="2" t="str">
        <f>IF(BX84=0,"geen actie",CONCATENATE("diploma uitschrijven: ",BV84," punten"))</f>
        <v>geen actie</v>
      </c>
      <c r="CA84" s="150">
        <f>Tabel2[[#This Row],[pnt t/m 2021/22]]</f>
        <v>342.29545454545456</v>
      </c>
      <c r="CB84" s="150">
        <f>Tabel2[[#This Row],[pnt 2022/2023]]</f>
        <v>0</v>
      </c>
      <c r="CC84" s="150">
        <f t="shared" si="12"/>
        <v>342.29545454545456</v>
      </c>
      <c r="CD84" s="150">
        <f>IF(Tabel2[[#This Row],[LPR 1]]&gt;0,1,0)</f>
        <v>0</v>
      </c>
      <c r="CE84" s="150">
        <f>IF(Tabel2[[#This Row],[LPR 2]]&gt;0,1,0)</f>
        <v>0</v>
      </c>
      <c r="CF84" s="150">
        <f>IF(Tabel2[[#This Row],[LPR 3]]&gt;0,1,0)</f>
        <v>0</v>
      </c>
      <c r="CG84" s="150">
        <f>IF(Tabel2[[#This Row],[LPR 4]]&gt;0,1,0)</f>
        <v>0</v>
      </c>
      <c r="CH84" s="150">
        <f>IF(Tabel2[[#This Row],[LPR 5]]&gt;0,1,0)</f>
        <v>0</v>
      </c>
      <c r="CI84" s="150">
        <f>IF(Tabel2[[#This Row],[LPR 6]]&gt;0,1,0)</f>
        <v>0</v>
      </c>
      <c r="CJ84" s="150">
        <f>IF(Tabel2[[#This Row],[LPR 7]]&gt;0,1,0)</f>
        <v>0</v>
      </c>
      <c r="CK84" s="150">
        <f>IF(Tabel2[[#This Row],[LPR 8]]&gt;0,1,0)</f>
        <v>0</v>
      </c>
      <c r="CL84" s="150">
        <f>IF(Tabel2[[#This Row],[LPR 9]]&gt;0,1,0)</f>
        <v>0</v>
      </c>
      <c r="CM84" s="150">
        <f>IF(Tabel2[[#This Row],[LPR 10]]&gt;0,1,0)</f>
        <v>0</v>
      </c>
      <c r="CN84" s="150">
        <f>SUM(Tabel7[[#This Row],[sep]:[jun]])</f>
        <v>0</v>
      </c>
      <c r="CO84" s="22" t="str">
        <f t="shared" si="7"/>
        <v/>
      </c>
      <c r="CP84" s="22" t="str">
        <f t="shared" si="8"/>
        <v/>
      </c>
      <c r="CQ84" s="22" t="str">
        <f t="shared" si="9"/>
        <v/>
      </c>
      <c r="CR84" s="22" t="str">
        <f t="shared" si="10"/>
        <v/>
      </c>
      <c r="CS84" s="22" t="str">
        <f t="shared" si="11"/>
        <v/>
      </c>
    </row>
    <row r="85" spans="1:97" x14ac:dyDescent="0.3">
      <c r="A85" s="22" t="s">
        <v>143</v>
      </c>
      <c r="B85" s="22" t="s">
        <v>779</v>
      </c>
      <c r="D85" s="22" t="s">
        <v>137</v>
      </c>
      <c r="E85" t="s">
        <v>242</v>
      </c>
      <c r="F85" s="22">
        <v>120737</v>
      </c>
      <c r="G85" s="25" t="s">
        <v>185</v>
      </c>
      <c r="H85" s="23">
        <f>Tabel2[[#This Row],[pnt t/m 2021/22]]+Tabel2[[#This Row],[pnt 2022/2023]]</f>
        <v>71.428571428571431</v>
      </c>
      <c r="I85">
        <v>2007</v>
      </c>
      <c r="J85">
        <v>2022</v>
      </c>
      <c r="K85" s="24">
        <f>Tabel2[[#This Row],[ijkdatum]]-Tabel2[[#This Row],[Geboren]]</f>
        <v>15</v>
      </c>
      <c r="L85" s="26">
        <f>Tabel2[[#This Row],[TTL 1]]+Tabel2[[#This Row],[TTL 2]]+Tabel2[[#This Row],[TTL 3]]+Tabel2[[#This Row],[TTL 4]]+Tabel2[[#This Row],[TTL 5]]+Tabel2[[#This Row],[TTL 6]]+Tabel2[[#This Row],[TTL 7]]+Tabel2[[#This Row],[TTL 8]]+Tabel2[[#This Row],[TTL 9]]+Tabel2[[#This Row],[TTL 10]]</f>
        <v>0</v>
      </c>
      <c r="M85" s="153">
        <v>71.428571428571431</v>
      </c>
      <c r="O85">
        <v>1</v>
      </c>
      <c r="S85" s="153">
        <f>SUM(Tabel2[[#This Row],[V 1]]*10+Tabel2[[#This Row],[GT 1]])/Tabel2[[#This Row],[AW 1]]*10+Tabel2[[#This Row],[BONUS 1]]</f>
        <v>0</v>
      </c>
      <c r="U85">
        <v>1</v>
      </c>
      <c r="Y85" s="153">
        <f>SUM(Tabel2[[#This Row],[V 2]]*10+Tabel2[[#This Row],[GT 2]])/Tabel2[[#This Row],[AW 2]]*10+Tabel2[[#This Row],[BONUS 2]]</f>
        <v>0</v>
      </c>
      <c r="AA85">
        <v>1</v>
      </c>
      <c r="AE85" s="153">
        <f>SUM(Tabel2[[#This Row],[V 3]]*10+Tabel2[[#This Row],[GT 3]])/Tabel2[[#This Row],[AW 3]]*10+Tabel2[[#This Row],[BONUS 3]]</f>
        <v>0</v>
      </c>
      <c r="AG85">
        <v>1</v>
      </c>
      <c r="AK85" s="153">
        <f>SUM(Tabel2[[#This Row],[V 4]]*10+Tabel2[[#This Row],[GT 4]])/Tabel2[[#This Row],[AW 4]]*10+Tabel2[[#This Row],[BONUS 4]]</f>
        <v>0</v>
      </c>
      <c r="AM85">
        <v>1</v>
      </c>
      <c r="AQ85" s="153">
        <f>SUM(Tabel2[[#This Row],[V 5]]*10+Tabel2[[#This Row],[GT 5]])/Tabel2[[#This Row],[AW 5]]*10+Tabel2[[#This Row],[BONUS 5]]</f>
        <v>0</v>
      </c>
      <c r="AS85">
        <v>1</v>
      </c>
      <c r="AW85" s="153">
        <f>SUM(Tabel2[[#This Row],[V 6]]*10+Tabel2[[#This Row],[GT 6]])/Tabel2[[#This Row],[AW 6]]*10+Tabel2[[#This Row],[BONUS 6]]</f>
        <v>0</v>
      </c>
      <c r="AY85">
        <v>1</v>
      </c>
      <c r="BC85" s="23">
        <f>SUM(Tabel2[[#This Row],[V 7]]*10+Tabel2[[#This Row],[GT 7]])/Tabel2[[#This Row],[AW 7]]*10+Tabel2[[#This Row],[BONUS 7]]</f>
        <v>0</v>
      </c>
      <c r="BE85">
        <v>1</v>
      </c>
      <c r="BI85" s="153">
        <f>SUM(Tabel2[[#This Row],[V 8]]*10+Tabel2[[#This Row],[GT 8]])/Tabel2[[#This Row],[AW 8]]*10+Tabel2[[#This Row],[BONUS 8]]</f>
        <v>0</v>
      </c>
      <c r="BK85">
        <v>1</v>
      </c>
      <c r="BO85" s="153">
        <f>SUM(Tabel2[[#This Row],[V 9]]*10+Tabel2[[#This Row],[GT 9]])/Tabel2[[#This Row],[AW 9]]*10+Tabel2[[#This Row],[BONUS 9]]</f>
        <v>0</v>
      </c>
      <c r="BQ85">
        <v>1</v>
      </c>
      <c r="BU85" s="23">
        <f>SUM(Tabel2[[#This Row],[V 10]]*10+Tabel2[[#This Row],[GT 10]])/Tabel2[[#This Row],[AW 10]]*10+Tabel2[[#This Row],[BONUS 10]]</f>
        <v>0</v>
      </c>
      <c r="BV8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5" s="22">
        <v>0</v>
      </c>
      <c r="BX85" s="22">
        <f>Tabel2[[#This Row],[Diploma]]-Tabel2[[#This Row],[Uitgeschreven]]</f>
        <v>0</v>
      </c>
      <c r="BY85" s="155" t="str">
        <f>IF(BX85=0,"geen actie",CONCATENATE("diploma uitschrijven: ",BV85," punten"))</f>
        <v>geen actie</v>
      </c>
      <c r="CA85" s="150">
        <f>Tabel2[[#This Row],[pnt t/m 2021/22]]</f>
        <v>71.428571428571431</v>
      </c>
      <c r="CB85" s="150">
        <f>Tabel2[[#This Row],[pnt 2022/2023]]</f>
        <v>0</v>
      </c>
      <c r="CC85" s="150">
        <f t="shared" si="12"/>
        <v>71.428571428571431</v>
      </c>
      <c r="CD85" s="150">
        <f>IF(Tabel2[[#This Row],[LPR 1]]&gt;0,1,0)</f>
        <v>0</v>
      </c>
      <c r="CE85" s="150">
        <f>IF(Tabel2[[#This Row],[LPR 2]]&gt;0,1,0)</f>
        <v>0</v>
      </c>
      <c r="CF85" s="150">
        <f>IF(Tabel2[[#This Row],[LPR 3]]&gt;0,1,0)</f>
        <v>0</v>
      </c>
      <c r="CG85" s="150">
        <f>IF(Tabel2[[#This Row],[LPR 4]]&gt;0,1,0)</f>
        <v>0</v>
      </c>
      <c r="CH85" s="150">
        <f>IF(Tabel2[[#This Row],[LPR 5]]&gt;0,1,0)</f>
        <v>0</v>
      </c>
      <c r="CI85" s="150">
        <f>IF(Tabel2[[#This Row],[LPR 6]]&gt;0,1,0)</f>
        <v>0</v>
      </c>
      <c r="CJ85" s="150">
        <f>IF(Tabel2[[#This Row],[LPR 7]]&gt;0,1,0)</f>
        <v>0</v>
      </c>
      <c r="CK85" s="150">
        <f>IF(Tabel2[[#This Row],[LPR 8]]&gt;0,1,0)</f>
        <v>0</v>
      </c>
      <c r="CL85" s="150">
        <f>IF(Tabel2[[#This Row],[LPR 9]]&gt;0,1,0)</f>
        <v>0</v>
      </c>
      <c r="CM85" s="150">
        <f>IF(Tabel2[[#This Row],[LPR 10]]&gt;0,1,0)</f>
        <v>0</v>
      </c>
      <c r="CN85" s="150">
        <f>SUM(Tabel7[[#This Row],[sep]:[jun]])</f>
        <v>0</v>
      </c>
      <c r="CO85" s="22" t="str">
        <f t="shared" si="7"/>
        <v/>
      </c>
      <c r="CP85" s="22" t="str">
        <f t="shared" si="8"/>
        <v/>
      </c>
      <c r="CQ85" s="22" t="str">
        <f t="shared" si="9"/>
        <v/>
      </c>
      <c r="CR85" s="22" t="str">
        <f t="shared" si="10"/>
        <v/>
      </c>
      <c r="CS85" s="22" t="str">
        <f t="shared" si="11"/>
        <v/>
      </c>
    </row>
    <row r="86" spans="1:97" x14ac:dyDescent="0.3">
      <c r="A86" s="22" t="s">
        <v>169</v>
      </c>
      <c r="B86" s="22" t="s">
        <v>779</v>
      </c>
      <c r="D86" s="22" t="s">
        <v>137</v>
      </c>
      <c r="E86" t="s">
        <v>243</v>
      </c>
      <c r="F86" s="22">
        <v>119449</v>
      </c>
      <c r="G86" s="25" t="s">
        <v>185</v>
      </c>
      <c r="H86" s="23">
        <f>Tabel2[[#This Row],[pnt t/m 2021/22]]+Tabel2[[#This Row],[pnt 2022/2023]]</f>
        <v>77.142857142857139</v>
      </c>
      <c r="I86">
        <v>2011</v>
      </c>
      <c r="J86">
        <v>2022</v>
      </c>
      <c r="K86" s="24">
        <f>Tabel2[[#This Row],[ijkdatum]]-Tabel2[[#This Row],[Geboren]]</f>
        <v>11</v>
      </c>
      <c r="L86" s="26">
        <f>Tabel2[[#This Row],[TTL 1]]+Tabel2[[#This Row],[TTL 2]]+Tabel2[[#This Row],[TTL 3]]+Tabel2[[#This Row],[TTL 4]]+Tabel2[[#This Row],[TTL 5]]+Tabel2[[#This Row],[TTL 6]]+Tabel2[[#This Row],[TTL 7]]+Tabel2[[#This Row],[TTL 8]]+Tabel2[[#This Row],[TTL 9]]+Tabel2[[#This Row],[TTL 10]]</f>
        <v>0</v>
      </c>
      <c r="M86" s="153">
        <v>77.142857142857139</v>
      </c>
      <c r="O86">
        <v>1</v>
      </c>
      <c r="S86" s="153">
        <f>SUM(Tabel2[[#This Row],[V 1]]*10+Tabel2[[#This Row],[GT 1]])/Tabel2[[#This Row],[AW 1]]*10+Tabel2[[#This Row],[BONUS 1]]</f>
        <v>0</v>
      </c>
      <c r="U86">
        <v>1</v>
      </c>
      <c r="Y86" s="153">
        <f>SUM(Tabel2[[#This Row],[V 2]]*10+Tabel2[[#This Row],[GT 2]])/Tabel2[[#This Row],[AW 2]]*10+Tabel2[[#This Row],[BONUS 2]]</f>
        <v>0</v>
      </c>
      <c r="AA86">
        <v>1</v>
      </c>
      <c r="AE86" s="153">
        <f>SUM(Tabel2[[#This Row],[V 3]]*10+Tabel2[[#This Row],[GT 3]])/Tabel2[[#This Row],[AW 3]]*10+Tabel2[[#This Row],[BONUS 3]]</f>
        <v>0</v>
      </c>
      <c r="AG86">
        <v>1</v>
      </c>
      <c r="AK86" s="153">
        <f>SUM(Tabel2[[#This Row],[V 4]]*10+Tabel2[[#This Row],[GT 4]])/Tabel2[[#This Row],[AW 4]]*10+Tabel2[[#This Row],[BONUS 4]]</f>
        <v>0</v>
      </c>
      <c r="AM86">
        <v>1</v>
      </c>
      <c r="AQ86" s="153">
        <f>SUM(Tabel2[[#This Row],[V 5]]*10+Tabel2[[#This Row],[GT 5]])/Tabel2[[#This Row],[AW 5]]*10+Tabel2[[#This Row],[BONUS 5]]</f>
        <v>0</v>
      </c>
      <c r="AS86">
        <v>1</v>
      </c>
      <c r="AW86" s="153">
        <f>SUM(Tabel2[[#This Row],[V 6]]*10+Tabel2[[#This Row],[GT 6]])/Tabel2[[#This Row],[AW 6]]*10+Tabel2[[#This Row],[BONUS 6]]</f>
        <v>0</v>
      </c>
      <c r="AY86">
        <v>1</v>
      </c>
      <c r="BC86" s="23">
        <f>SUM(Tabel2[[#This Row],[V 7]]*10+Tabel2[[#This Row],[GT 7]])/Tabel2[[#This Row],[AW 7]]*10+Tabel2[[#This Row],[BONUS 7]]</f>
        <v>0</v>
      </c>
      <c r="BE86">
        <v>1</v>
      </c>
      <c r="BI86" s="153">
        <f>SUM(Tabel2[[#This Row],[V 8]]*10+Tabel2[[#This Row],[GT 8]])/Tabel2[[#This Row],[AW 8]]*10+Tabel2[[#This Row],[BONUS 8]]</f>
        <v>0</v>
      </c>
      <c r="BK86">
        <v>1</v>
      </c>
      <c r="BO86" s="153">
        <f>SUM(Tabel2[[#This Row],[V 9]]*10+Tabel2[[#This Row],[GT 9]])/Tabel2[[#This Row],[AW 9]]*10+Tabel2[[#This Row],[BONUS 9]]</f>
        <v>0</v>
      </c>
      <c r="BQ86">
        <v>1</v>
      </c>
      <c r="BU86" s="23">
        <f>SUM(Tabel2[[#This Row],[V 10]]*10+Tabel2[[#This Row],[GT 10]])/Tabel2[[#This Row],[AW 10]]*10+Tabel2[[#This Row],[BONUS 10]]</f>
        <v>0</v>
      </c>
      <c r="BV8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6" s="22">
        <v>0</v>
      </c>
      <c r="BX86" s="22">
        <f>Tabel2[[#This Row],[Diploma]]-Tabel2[[#This Row],[Uitgeschreven]]</f>
        <v>0</v>
      </c>
      <c r="BY86" s="155" t="str">
        <f>IF(BX86=0,"geen actie",CONCATENATE("diploma uitschrijven: ",BV86," punten"))</f>
        <v>geen actie</v>
      </c>
      <c r="CA86" s="150">
        <f>Tabel2[[#This Row],[pnt t/m 2021/22]]</f>
        <v>77.142857142857139</v>
      </c>
      <c r="CB86" s="150">
        <f>Tabel2[[#This Row],[pnt 2022/2023]]</f>
        <v>0</v>
      </c>
      <c r="CC86" s="150">
        <f t="shared" si="12"/>
        <v>77.142857142857139</v>
      </c>
      <c r="CD86" s="150">
        <f>IF(Tabel2[[#This Row],[LPR 1]]&gt;0,1,0)</f>
        <v>0</v>
      </c>
      <c r="CE86" s="150">
        <f>IF(Tabel2[[#This Row],[LPR 2]]&gt;0,1,0)</f>
        <v>0</v>
      </c>
      <c r="CF86" s="150">
        <f>IF(Tabel2[[#This Row],[LPR 3]]&gt;0,1,0)</f>
        <v>0</v>
      </c>
      <c r="CG86" s="150">
        <f>IF(Tabel2[[#This Row],[LPR 4]]&gt;0,1,0)</f>
        <v>0</v>
      </c>
      <c r="CH86" s="150">
        <f>IF(Tabel2[[#This Row],[LPR 5]]&gt;0,1,0)</f>
        <v>0</v>
      </c>
      <c r="CI86" s="150">
        <f>IF(Tabel2[[#This Row],[LPR 6]]&gt;0,1,0)</f>
        <v>0</v>
      </c>
      <c r="CJ86" s="150">
        <f>IF(Tabel2[[#This Row],[LPR 7]]&gt;0,1,0)</f>
        <v>0</v>
      </c>
      <c r="CK86" s="150">
        <f>IF(Tabel2[[#This Row],[LPR 8]]&gt;0,1,0)</f>
        <v>0</v>
      </c>
      <c r="CL86" s="150">
        <f>IF(Tabel2[[#This Row],[LPR 9]]&gt;0,1,0)</f>
        <v>0</v>
      </c>
      <c r="CM86" s="150">
        <f>IF(Tabel2[[#This Row],[LPR 10]]&gt;0,1,0)</f>
        <v>0</v>
      </c>
      <c r="CN86" s="150">
        <f>SUM(Tabel7[[#This Row],[sep]:[jun]])</f>
        <v>0</v>
      </c>
      <c r="CO86" s="22" t="str">
        <f t="shared" si="7"/>
        <v/>
      </c>
      <c r="CP86" s="22" t="str">
        <f t="shared" si="8"/>
        <v/>
      </c>
      <c r="CQ86" s="22" t="str">
        <f t="shared" si="9"/>
        <v/>
      </c>
      <c r="CR86" s="22" t="str">
        <f t="shared" si="10"/>
        <v/>
      </c>
      <c r="CS86" s="22" t="str">
        <f t="shared" si="11"/>
        <v/>
      </c>
    </row>
    <row r="87" spans="1:97" x14ac:dyDescent="0.3">
      <c r="A87" s="22" t="s">
        <v>143</v>
      </c>
      <c r="B87" s="22" t="s">
        <v>778</v>
      </c>
      <c r="D87" s="22" t="s">
        <v>137</v>
      </c>
      <c r="E87" t="s">
        <v>233</v>
      </c>
      <c r="F87" s="22">
        <v>117395</v>
      </c>
      <c r="G87" s="25" t="s">
        <v>147</v>
      </c>
      <c r="H87" s="142">
        <f>Tabel2[[#This Row],[pnt t/m 2021/22]]+Tabel2[[#This Row],[pnt 2022/2023]]</f>
        <v>2380.0793650793653</v>
      </c>
      <c r="I87">
        <v>2008</v>
      </c>
      <c r="J87">
        <v>2022</v>
      </c>
      <c r="K87" s="24">
        <f>Tabel2[[#This Row],[ijkdatum]]-Tabel2[[#This Row],[Geboren]]</f>
        <v>14</v>
      </c>
      <c r="L87" s="26">
        <f>Tabel2[[#This Row],[TTL 1]]+Tabel2[[#This Row],[TTL 2]]+Tabel2[[#This Row],[TTL 3]]+Tabel2[[#This Row],[TTL 4]]+Tabel2[[#This Row],[TTL 5]]+Tabel2[[#This Row],[TTL 6]]+Tabel2[[#This Row],[TTL 7]]+Tabel2[[#This Row],[TTL 8]]+Tabel2[[#This Row],[TTL 9]]+Tabel2[[#This Row],[TTL 10]]</f>
        <v>105.83333333333334</v>
      </c>
      <c r="M87" s="153">
        <v>2274.2460317460318</v>
      </c>
      <c r="O87">
        <v>1</v>
      </c>
      <c r="S87" s="23">
        <f>SUM(Tabel2[[#This Row],[V 1]]*10+Tabel2[[#This Row],[GT 1]])/Tabel2[[#This Row],[AW 1]]*10+Tabel2[[#This Row],[BONUS 1]]</f>
        <v>0</v>
      </c>
      <c r="T87">
        <v>4</v>
      </c>
      <c r="U87">
        <v>12</v>
      </c>
      <c r="V87">
        <v>8</v>
      </c>
      <c r="W87">
        <v>47</v>
      </c>
      <c r="Y87" s="23">
        <f>SUM(Tabel2[[#This Row],[V 2]]*10+Tabel2[[#This Row],[GT 2]])/Tabel2[[#This Row],[AW 2]]*10+Tabel2[[#This Row],[BONUS 2]]</f>
        <v>105.83333333333334</v>
      </c>
      <c r="AA87">
        <v>1</v>
      </c>
      <c r="AE87" s="23">
        <f>SUM(Tabel2[[#This Row],[V 3]]*10+Tabel2[[#This Row],[GT 3]])/Tabel2[[#This Row],[AW 3]]*10+Tabel2[[#This Row],[BONUS 3]]</f>
        <v>0</v>
      </c>
      <c r="AG87">
        <v>1</v>
      </c>
      <c r="AK87" s="23">
        <f>SUM(Tabel2[[#This Row],[V 4]]*10+Tabel2[[#This Row],[GT 4]])/Tabel2[[#This Row],[AW 4]]*10+Tabel2[[#This Row],[BONUS 4]]</f>
        <v>0</v>
      </c>
      <c r="AM87">
        <v>1</v>
      </c>
      <c r="AQ87" s="23">
        <f>SUM(Tabel2[[#This Row],[V 5]]*10+Tabel2[[#This Row],[GT 5]])/Tabel2[[#This Row],[AW 5]]*10+Tabel2[[#This Row],[BONUS 5]]</f>
        <v>0</v>
      </c>
      <c r="AS87">
        <v>1</v>
      </c>
      <c r="AW87" s="23">
        <f>SUM(Tabel2[[#This Row],[V 6]]*10+Tabel2[[#This Row],[GT 6]])/Tabel2[[#This Row],[AW 6]]*10+Tabel2[[#This Row],[BONUS 6]]</f>
        <v>0</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87" s="22">
        <v>2000</v>
      </c>
      <c r="BX87" s="30">
        <f>Tabel2[[#This Row],[Diploma]]-Tabel2[[#This Row],[Uitgeschreven]]</f>
        <v>0</v>
      </c>
      <c r="BY87" s="2" t="str">
        <f>IF(BX87=0,"geen actie",CONCATENATE("diploma uitschrijven: ",BV87," punten"))</f>
        <v>geen actie</v>
      </c>
      <c r="CA87" s="150">
        <f>Tabel2[[#This Row],[pnt t/m 2021/22]]</f>
        <v>2274.2460317460318</v>
      </c>
      <c r="CB87" s="150">
        <f>Tabel2[[#This Row],[pnt 2022/2023]]</f>
        <v>105.83333333333334</v>
      </c>
      <c r="CC87" s="150">
        <f t="shared" si="12"/>
        <v>2380.0793650793653</v>
      </c>
      <c r="CD87" s="150">
        <f>IF(Tabel2[[#This Row],[LPR 1]]&gt;0,1,0)</f>
        <v>0</v>
      </c>
      <c r="CE87" s="150">
        <f>IF(Tabel2[[#This Row],[LPR 2]]&gt;0,1,0)</f>
        <v>1</v>
      </c>
      <c r="CF87" s="150">
        <f>IF(Tabel2[[#This Row],[LPR 3]]&gt;0,1,0)</f>
        <v>0</v>
      </c>
      <c r="CG87" s="150">
        <f>IF(Tabel2[[#This Row],[LPR 4]]&gt;0,1,0)</f>
        <v>0</v>
      </c>
      <c r="CH87" s="150">
        <f>IF(Tabel2[[#This Row],[LPR 5]]&gt;0,1,0)</f>
        <v>0</v>
      </c>
      <c r="CI87" s="150">
        <f>IF(Tabel2[[#This Row],[LPR 6]]&gt;0,1,0)</f>
        <v>0</v>
      </c>
      <c r="CJ87" s="150">
        <f>IF(Tabel2[[#This Row],[LPR 7]]&gt;0,1,0)</f>
        <v>0</v>
      </c>
      <c r="CK87" s="150">
        <f>IF(Tabel2[[#This Row],[LPR 8]]&gt;0,1,0)</f>
        <v>0</v>
      </c>
      <c r="CL87" s="150">
        <f>IF(Tabel2[[#This Row],[LPR 9]]&gt;0,1,0)</f>
        <v>0</v>
      </c>
      <c r="CM87" s="150">
        <f>IF(Tabel2[[#This Row],[LPR 10]]&gt;0,1,0)</f>
        <v>0</v>
      </c>
      <c r="CN87" s="150">
        <f>SUM(Tabel7[[#This Row],[sep]:[jun]])</f>
        <v>1</v>
      </c>
      <c r="CO87" s="22" t="str">
        <f t="shared" si="7"/>
        <v/>
      </c>
      <c r="CP87" s="22" t="str">
        <f t="shared" si="8"/>
        <v/>
      </c>
      <c r="CQ87" s="22" t="str">
        <f t="shared" si="9"/>
        <v/>
      </c>
      <c r="CR87" s="22" t="str">
        <f t="shared" si="10"/>
        <v/>
      </c>
      <c r="CS87" s="22" t="str">
        <f t="shared" si="11"/>
        <v/>
      </c>
    </row>
    <row r="88" spans="1:97" x14ac:dyDescent="0.3">
      <c r="A88" s="22" t="s">
        <v>169</v>
      </c>
      <c r="B88" s="22" t="s">
        <v>778</v>
      </c>
      <c r="D88" s="22" t="s">
        <v>137</v>
      </c>
      <c r="E88" t="s">
        <v>245</v>
      </c>
      <c r="F88" s="22">
        <v>119174</v>
      </c>
      <c r="G88" s="25" t="s">
        <v>149</v>
      </c>
      <c r="H88" s="142">
        <f>Tabel2[[#This Row],[pnt t/m 2021/22]]+Tabel2[[#This Row],[pnt 2022/2023]]</f>
        <v>442.7380952380953</v>
      </c>
      <c r="I88">
        <v>2011</v>
      </c>
      <c r="J88">
        <v>2022</v>
      </c>
      <c r="K88" s="24">
        <f>Tabel2[[#This Row],[ijkdatum]]-Tabel2[[#This Row],[Geboren]]</f>
        <v>11</v>
      </c>
      <c r="L88" s="26">
        <f>Tabel2[[#This Row],[TTL 1]]+Tabel2[[#This Row],[TTL 2]]+Tabel2[[#This Row],[TTL 3]]+Tabel2[[#This Row],[TTL 4]]+Tabel2[[#This Row],[TTL 5]]+Tabel2[[#This Row],[TTL 6]]+Tabel2[[#This Row],[TTL 7]]+Tabel2[[#This Row],[TTL 8]]+Tabel2[[#This Row],[TTL 9]]+Tabel2[[#This Row],[TTL 10]]</f>
        <v>0</v>
      </c>
      <c r="M88" s="141">
        <v>442.7380952380953</v>
      </c>
      <c r="O88">
        <v>1</v>
      </c>
      <c r="S88" s="23">
        <f>SUM(Tabel2[[#This Row],[V 1]]*10+Tabel2[[#This Row],[GT 1]])/Tabel2[[#This Row],[AW 1]]*10+Tabel2[[#This Row],[BONUS 1]]</f>
        <v>0</v>
      </c>
      <c r="U88">
        <v>1</v>
      </c>
      <c r="Y88" s="23">
        <f>SUM(Tabel2[[#This Row],[V 2]]*10+Tabel2[[#This Row],[GT 2]])/Tabel2[[#This Row],[AW 2]]*10+Tabel2[[#This Row],[BONUS 2]]</f>
        <v>0</v>
      </c>
      <c r="AA88">
        <v>1</v>
      </c>
      <c r="AE88" s="23">
        <f>SUM(Tabel2[[#This Row],[V 3]]*10+Tabel2[[#This Row],[GT 3]])/Tabel2[[#This Row],[AW 3]]*10+Tabel2[[#This Row],[BONUS 3]]</f>
        <v>0</v>
      </c>
      <c r="AG88">
        <v>1</v>
      </c>
      <c r="AK88" s="23">
        <f>SUM(Tabel2[[#This Row],[V 4]]*10+Tabel2[[#This Row],[GT 4]])/Tabel2[[#This Row],[AW 4]]*10+Tabel2[[#This Row],[BONUS 4]]</f>
        <v>0</v>
      </c>
      <c r="AM88">
        <v>1</v>
      </c>
      <c r="AQ88" s="23">
        <f>SUM(Tabel2[[#This Row],[V 5]]*10+Tabel2[[#This Row],[GT 5]])/Tabel2[[#This Row],[AW 5]]*10+Tabel2[[#This Row],[BONUS 5]]</f>
        <v>0</v>
      </c>
      <c r="AS88">
        <v>1</v>
      </c>
      <c r="AW88" s="23">
        <f>SUM(Tabel2[[#This Row],[V 6]]*10+Tabel2[[#This Row],[GT 6]])/Tabel2[[#This Row],[AW 6]]*10+Tabel2[[#This Row],[BONUS 6]]</f>
        <v>0</v>
      </c>
      <c r="AY88">
        <v>1</v>
      </c>
      <c r="BC88" s="23">
        <f>SUM(Tabel2[[#This Row],[V 7]]*10+Tabel2[[#This Row],[GT 7]])/Tabel2[[#This Row],[AW 7]]*10+Tabel2[[#This Row],[BONUS 7]]</f>
        <v>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10]])/2)/Tabel2[[#This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8" s="22">
        <v>250</v>
      </c>
      <c r="BX88" s="30">
        <f>Tabel2[[#This Row],[Diploma]]-Tabel2[[#This Row],[Uitgeschreven]]</f>
        <v>0</v>
      </c>
      <c r="BY88" s="2" t="str">
        <f>IF(BX88=0,"geen actie",CONCATENATE("diploma uitschrijven: ",BV88," punten"))</f>
        <v>geen actie</v>
      </c>
      <c r="CA88" s="150">
        <f>Tabel2[[#This Row],[pnt t/m 2021/22]]</f>
        <v>442.7380952380953</v>
      </c>
      <c r="CB88" s="150">
        <f>Tabel2[[#This Row],[pnt 2022/2023]]</f>
        <v>0</v>
      </c>
      <c r="CC88" s="150">
        <f t="shared" si="12"/>
        <v>442.7380952380953</v>
      </c>
      <c r="CD88" s="150">
        <f>IF(Tabel2[[#This Row],[LPR 1]]&gt;0,1,0)</f>
        <v>0</v>
      </c>
      <c r="CE88" s="150">
        <f>IF(Tabel2[[#This Row],[LPR 2]]&gt;0,1,0)</f>
        <v>0</v>
      </c>
      <c r="CF88" s="150">
        <f>IF(Tabel2[[#This Row],[LPR 3]]&gt;0,1,0)</f>
        <v>0</v>
      </c>
      <c r="CG88" s="150">
        <f>IF(Tabel2[[#This Row],[LPR 4]]&gt;0,1,0)</f>
        <v>0</v>
      </c>
      <c r="CH88" s="150">
        <f>IF(Tabel2[[#This Row],[LPR 5]]&gt;0,1,0)</f>
        <v>0</v>
      </c>
      <c r="CI88" s="150">
        <f>IF(Tabel2[[#This Row],[LPR 6]]&gt;0,1,0)</f>
        <v>0</v>
      </c>
      <c r="CJ88" s="150">
        <f>IF(Tabel2[[#This Row],[LPR 7]]&gt;0,1,0)</f>
        <v>0</v>
      </c>
      <c r="CK88" s="150">
        <f>IF(Tabel2[[#This Row],[LPR 8]]&gt;0,1,0)</f>
        <v>0</v>
      </c>
      <c r="CL88" s="150">
        <f>IF(Tabel2[[#This Row],[LPR 9]]&gt;0,1,0)</f>
        <v>0</v>
      </c>
      <c r="CM88" s="150">
        <f>IF(Tabel2[[#This Row],[LPR 10]]&gt;0,1,0)</f>
        <v>0</v>
      </c>
      <c r="CN88" s="150">
        <f>SUM(Tabel7[[#This Row],[sep]:[jun]])</f>
        <v>0</v>
      </c>
      <c r="CO88" s="22" t="str">
        <f t="shared" si="7"/>
        <v/>
      </c>
      <c r="CP88" s="22" t="str">
        <f t="shared" si="8"/>
        <v/>
      </c>
      <c r="CQ88" s="22" t="str">
        <f t="shared" si="9"/>
        <v/>
      </c>
      <c r="CR88" s="22" t="str">
        <f t="shared" si="10"/>
        <v/>
      </c>
      <c r="CS88" s="22" t="str">
        <f t="shared" si="11"/>
        <v/>
      </c>
    </row>
    <row r="89" spans="1:97" x14ac:dyDescent="0.3">
      <c r="A89" s="22" t="s">
        <v>135</v>
      </c>
      <c r="B89" s="22" t="s">
        <v>778</v>
      </c>
      <c r="D89" s="22" t="s">
        <v>137</v>
      </c>
      <c r="E89" t="s">
        <v>246</v>
      </c>
      <c r="F89" s="22">
        <v>118132</v>
      </c>
      <c r="G89" s="25" t="s">
        <v>247</v>
      </c>
      <c r="H89" s="23">
        <f>Tabel2[[#This Row],[pnt t/m 2021/22]]+Tabel2[[#This Row],[pnt 2022/2023]]</f>
        <v>50</v>
      </c>
      <c r="I89">
        <v>2010</v>
      </c>
      <c r="J89">
        <v>2022</v>
      </c>
      <c r="K89" s="24">
        <f>Tabel2[[#This Row],[ijkdatum]]-Tabel2[[#This Row],[Geboren]]</f>
        <v>12</v>
      </c>
      <c r="L89" s="26">
        <f>Tabel2[[#This Row],[TTL 1]]+Tabel2[[#This Row],[TTL 2]]+Tabel2[[#This Row],[TTL 3]]+Tabel2[[#This Row],[TTL 4]]+Tabel2[[#This Row],[TTL 5]]+Tabel2[[#This Row],[TTL 6]]+Tabel2[[#This Row],[TTL 7]]+Tabel2[[#This Row],[TTL 8]]+Tabel2[[#This Row],[TTL 9]]+Tabel2[[#This Row],[TTL 10]]</f>
        <v>0</v>
      </c>
      <c r="M89" s="153">
        <v>50</v>
      </c>
      <c r="O89">
        <v>1</v>
      </c>
      <c r="S89" s="153">
        <f>SUM(Tabel2[[#This Row],[V 1]]*10+Tabel2[[#This Row],[GT 1]])/Tabel2[[#This Row],[AW 1]]*10+Tabel2[[#This Row],[BONUS 1]]</f>
        <v>0</v>
      </c>
      <c r="U89">
        <v>1</v>
      </c>
      <c r="Y89" s="23">
        <f>SUM(Tabel2[[#This Row],[V 2]]*10+Tabel2[[#This Row],[GT 2]])/Tabel2[[#This Row],[AW 2]]*10+Tabel2[[#This Row],[BONUS 2]]</f>
        <v>0</v>
      </c>
      <c r="AA89">
        <v>1</v>
      </c>
      <c r="AE89" s="23">
        <f>SUM(Tabel2[[#This Row],[V 3]]*10+Tabel2[[#This Row],[GT 3]])/Tabel2[[#This Row],[AW 3]]*10+Tabel2[[#This Row],[BONUS 3]]</f>
        <v>0</v>
      </c>
      <c r="AG89">
        <v>1</v>
      </c>
      <c r="AK89" s="23">
        <f>SUM(Tabel2[[#This Row],[V 4]]*10+Tabel2[[#This Row],[GT 4]])/Tabel2[[#This Row],[AW 4]]*10+Tabel2[[#This Row],[BONUS 4]]</f>
        <v>0</v>
      </c>
      <c r="AM89">
        <v>1</v>
      </c>
      <c r="AQ89" s="23">
        <f>SUM(Tabel2[[#This Row],[V 5]]*10+Tabel2[[#This Row],[GT 5]])/Tabel2[[#This Row],[AW 5]]*10+Tabel2[[#This Row],[BONUS 5]]</f>
        <v>0</v>
      </c>
      <c r="AS89">
        <v>1</v>
      </c>
      <c r="AW89" s="23">
        <f>SUM(Tabel2[[#This Row],[V 6]]*10+Tabel2[[#This Row],[GT 6]])/Tabel2[[#This Row],[AW 6]]*10+Tabel2[[#This Row],[BONUS 6]]</f>
        <v>0</v>
      </c>
      <c r="AY89">
        <v>1</v>
      </c>
      <c r="BC89" s="23">
        <f>SUM(Tabel2[[#This Row],[V 7]]*10+Tabel2[[#This Row],[GT 7]])/Tabel2[[#This Row],[AW 7]]*10+Tabel2[[#This Row],[BONUS 7]]</f>
        <v>0</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9" s="22">
        <v>0</v>
      </c>
      <c r="BX89" s="22">
        <f>Tabel2[[#This Row],[Diploma]]-Tabel2[[#This Row],[Uitgeschreven]]</f>
        <v>0</v>
      </c>
      <c r="BY89" s="155" t="str">
        <f>IF(BX89=0,"geen actie",CONCATENATE("diploma uitschrijven: ",BV89," punten"))</f>
        <v>geen actie</v>
      </c>
      <c r="CA89" s="150">
        <f>Tabel2[[#This Row],[pnt t/m 2021/22]]</f>
        <v>50</v>
      </c>
      <c r="CB89" s="150">
        <f>Tabel2[[#This Row],[pnt 2022/2023]]</f>
        <v>0</v>
      </c>
      <c r="CC89" s="150">
        <f t="shared" si="12"/>
        <v>50</v>
      </c>
      <c r="CD89" s="150">
        <f>IF(Tabel2[[#This Row],[LPR 1]]&gt;0,1,0)</f>
        <v>0</v>
      </c>
      <c r="CE89" s="150">
        <f>IF(Tabel2[[#This Row],[LPR 2]]&gt;0,1,0)</f>
        <v>0</v>
      </c>
      <c r="CF89" s="150">
        <f>IF(Tabel2[[#This Row],[LPR 3]]&gt;0,1,0)</f>
        <v>0</v>
      </c>
      <c r="CG89" s="150">
        <f>IF(Tabel2[[#This Row],[LPR 4]]&gt;0,1,0)</f>
        <v>0</v>
      </c>
      <c r="CH89" s="150">
        <f>IF(Tabel2[[#This Row],[LPR 5]]&gt;0,1,0)</f>
        <v>0</v>
      </c>
      <c r="CI89" s="150">
        <f>IF(Tabel2[[#This Row],[LPR 6]]&gt;0,1,0)</f>
        <v>0</v>
      </c>
      <c r="CJ89" s="150">
        <f>IF(Tabel2[[#This Row],[LPR 7]]&gt;0,1,0)</f>
        <v>0</v>
      </c>
      <c r="CK89" s="150">
        <f>IF(Tabel2[[#This Row],[LPR 8]]&gt;0,1,0)</f>
        <v>0</v>
      </c>
      <c r="CL89" s="150">
        <f>IF(Tabel2[[#This Row],[LPR 9]]&gt;0,1,0)</f>
        <v>0</v>
      </c>
      <c r="CM89" s="150">
        <f>IF(Tabel2[[#This Row],[LPR 10]]&gt;0,1,0)</f>
        <v>0</v>
      </c>
      <c r="CN89" s="150">
        <f>SUM(Tabel7[[#This Row],[sep]:[jun]])</f>
        <v>0</v>
      </c>
      <c r="CO89" s="22" t="str">
        <f t="shared" si="7"/>
        <v/>
      </c>
      <c r="CP89" s="22" t="str">
        <f t="shared" si="8"/>
        <v/>
      </c>
      <c r="CQ89" s="22" t="str">
        <f t="shared" si="9"/>
        <v/>
      </c>
      <c r="CR89" s="22" t="str">
        <f t="shared" si="10"/>
        <v/>
      </c>
      <c r="CS89" s="22" t="str">
        <f t="shared" si="11"/>
        <v/>
      </c>
    </row>
    <row r="90" spans="1:97" x14ac:dyDescent="0.3">
      <c r="A90" s="22" t="s">
        <v>143</v>
      </c>
      <c r="B90" s="22" t="s">
        <v>778</v>
      </c>
      <c r="D90" s="22" t="s">
        <v>137</v>
      </c>
      <c r="E90" t="s">
        <v>248</v>
      </c>
      <c r="F90" s="22">
        <v>118519</v>
      </c>
      <c r="G90" s="25" t="s">
        <v>161</v>
      </c>
      <c r="H90" s="142">
        <f>Tabel2[[#This Row],[pnt t/m 2021/22]]+Tabel2[[#This Row],[pnt 2022/2023]]</f>
        <v>392.62770562770567</v>
      </c>
      <c r="I90">
        <v>2010</v>
      </c>
      <c r="J90">
        <v>2022</v>
      </c>
      <c r="K90" s="24">
        <f>Tabel2[[#This Row],[ijkdatum]]-Tabel2[[#This Row],[Geboren]]</f>
        <v>12</v>
      </c>
      <c r="L90" s="26">
        <f>Tabel2[[#This Row],[TTL 1]]+Tabel2[[#This Row],[TTL 2]]+Tabel2[[#This Row],[TTL 3]]+Tabel2[[#This Row],[TTL 4]]+Tabel2[[#This Row],[TTL 5]]+Tabel2[[#This Row],[TTL 6]]+Tabel2[[#This Row],[TTL 7]]+Tabel2[[#This Row],[TTL 8]]+Tabel2[[#This Row],[TTL 9]]+Tabel2[[#This Row],[TTL 10]]</f>
        <v>0</v>
      </c>
      <c r="M90" s="153">
        <v>392.62770562770567</v>
      </c>
      <c r="O90">
        <v>1</v>
      </c>
      <c r="S90" s="23">
        <f>SUM(Tabel2[[#This Row],[V 1]]*10+Tabel2[[#This Row],[GT 1]])/Tabel2[[#This Row],[AW 1]]*10+Tabel2[[#This Row],[BONUS 1]]</f>
        <v>0</v>
      </c>
      <c r="U90">
        <v>1</v>
      </c>
      <c r="Y90" s="23">
        <f>SUM(Tabel2[[#This Row],[V 2]]*10+Tabel2[[#This Row],[GT 2]])/Tabel2[[#This Row],[AW 2]]*10+Tabel2[[#This Row],[BONUS 2]]</f>
        <v>0</v>
      </c>
      <c r="AA90">
        <v>1</v>
      </c>
      <c r="AE90" s="23">
        <f>SUM(Tabel2[[#This Row],[V 3]]*10+Tabel2[[#This Row],[GT 3]])/Tabel2[[#This Row],[AW 3]]*10+Tabel2[[#This Row],[BONUS 3]]</f>
        <v>0</v>
      </c>
      <c r="AG90">
        <v>1</v>
      </c>
      <c r="AK90" s="23">
        <f>SUM(Tabel2[[#This Row],[V 4]]*10+Tabel2[[#This Row],[GT 4]])/Tabel2[[#This Row],[AW 4]]*10+Tabel2[[#This Row],[BONUS 4]]</f>
        <v>0</v>
      </c>
      <c r="AM90">
        <v>1</v>
      </c>
      <c r="AQ90" s="23">
        <f>SUM(Tabel2[[#This Row],[V 5]]*10+Tabel2[[#This Row],[GT 5]])/Tabel2[[#This Row],[AW 5]]*10+Tabel2[[#This Row],[BONUS 5]]</f>
        <v>0</v>
      </c>
      <c r="AS90">
        <v>1</v>
      </c>
      <c r="AW90" s="23">
        <f>SUM(Tabel2[[#This Row],[V 6]]*10+Tabel2[[#This Row],[GT 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0" s="22">
        <v>250</v>
      </c>
      <c r="BX90" s="30">
        <f>Tabel2[[#This Row],[Diploma]]-Tabel2[[#This Row],[Uitgeschreven]]</f>
        <v>0</v>
      </c>
      <c r="BY90" s="2" t="str">
        <f>IF(BX90=0,"geen actie",CONCATENATE("diploma uitschrijven: ",BV90," punten"))</f>
        <v>geen actie</v>
      </c>
      <c r="CA90" s="150">
        <f>Tabel2[[#This Row],[pnt t/m 2021/22]]</f>
        <v>392.62770562770567</v>
      </c>
      <c r="CB90" s="150">
        <f>Tabel2[[#This Row],[pnt 2022/2023]]</f>
        <v>0</v>
      </c>
      <c r="CC90" s="150">
        <f t="shared" si="12"/>
        <v>392.62770562770567</v>
      </c>
      <c r="CD90" s="150">
        <f>IF(Tabel2[[#This Row],[LPR 1]]&gt;0,1,0)</f>
        <v>0</v>
      </c>
      <c r="CE90" s="150">
        <f>IF(Tabel2[[#This Row],[LPR 2]]&gt;0,1,0)</f>
        <v>0</v>
      </c>
      <c r="CF90" s="150">
        <f>IF(Tabel2[[#This Row],[LPR 3]]&gt;0,1,0)</f>
        <v>0</v>
      </c>
      <c r="CG90" s="150">
        <f>IF(Tabel2[[#This Row],[LPR 4]]&gt;0,1,0)</f>
        <v>0</v>
      </c>
      <c r="CH90" s="150">
        <f>IF(Tabel2[[#This Row],[LPR 5]]&gt;0,1,0)</f>
        <v>0</v>
      </c>
      <c r="CI90" s="150">
        <f>IF(Tabel2[[#This Row],[LPR 6]]&gt;0,1,0)</f>
        <v>0</v>
      </c>
      <c r="CJ90" s="150">
        <f>IF(Tabel2[[#This Row],[LPR 7]]&gt;0,1,0)</f>
        <v>0</v>
      </c>
      <c r="CK90" s="150">
        <f>IF(Tabel2[[#This Row],[LPR 8]]&gt;0,1,0)</f>
        <v>0</v>
      </c>
      <c r="CL90" s="150">
        <f>IF(Tabel2[[#This Row],[LPR 9]]&gt;0,1,0)</f>
        <v>0</v>
      </c>
      <c r="CM90" s="150">
        <f>IF(Tabel2[[#This Row],[LPR 10]]&gt;0,1,0)</f>
        <v>0</v>
      </c>
      <c r="CN90" s="150">
        <f>SUM(Tabel7[[#This Row],[sep]:[jun]])</f>
        <v>0</v>
      </c>
      <c r="CO90" s="22" t="str">
        <f t="shared" si="7"/>
        <v/>
      </c>
      <c r="CP90" s="22" t="str">
        <f t="shared" si="8"/>
        <v/>
      </c>
      <c r="CQ90" s="22" t="str">
        <f t="shared" si="9"/>
        <v/>
      </c>
      <c r="CR90" s="22" t="str">
        <f t="shared" si="10"/>
        <v/>
      </c>
      <c r="CS90" s="22" t="str">
        <f t="shared" si="11"/>
        <v/>
      </c>
    </row>
    <row r="91" spans="1:97" x14ac:dyDescent="0.3">
      <c r="A91" s="22" t="s">
        <v>249</v>
      </c>
      <c r="B91" s="22" t="s">
        <v>778</v>
      </c>
      <c r="D91" s="22" t="s">
        <v>783</v>
      </c>
      <c r="E91" t="s">
        <v>250</v>
      </c>
      <c r="F91" s="22">
        <v>119996</v>
      </c>
      <c r="G91" s="25" t="s">
        <v>177</v>
      </c>
      <c r="H91" s="23">
        <f>Tabel2[[#This Row],[pnt t/m 2021/22]]+Tabel2[[#This Row],[pnt 2022/2023]]</f>
        <v>473.22222222222223</v>
      </c>
      <c r="I91">
        <v>2012</v>
      </c>
      <c r="J91">
        <v>2022</v>
      </c>
      <c r="K91" s="24">
        <f>Tabel2[[#This Row],[ijkdatum]]-Tabel2[[#This Row],[Geboren]]</f>
        <v>10</v>
      </c>
      <c r="L91" s="26">
        <f>Tabel2[[#This Row],[TTL 1]]+Tabel2[[#This Row],[TTL 2]]+Tabel2[[#This Row],[TTL 3]]+Tabel2[[#This Row],[TTL 4]]+Tabel2[[#This Row],[TTL 5]]+Tabel2[[#This Row],[TTL 6]]+Tabel2[[#This Row],[TTL 7]]+Tabel2[[#This Row],[TTL 8]]+Tabel2[[#This Row],[TTL 9]]+Tabel2[[#This Row],[TTL 10]]</f>
        <v>205</v>
      </c>
      <c r="M91" s="153">
        <v>268.22222222222223</v>
      </c>
      <c r="N91" s="237">
        <v>4</v>
      </c>
      <c r="O91">
        <v>10</v>
      </c>
      <c r="P91">
        <v>6</v>
      </c>
      <c r="Q91">
        <v>32</v>
      </c>
      <c r="S91" s="153">
        <f>SUM(Tabel2[[#This Row],[V 1]]*10+Tabel2[[#This Row],[GT 1]])/Tabel2[[#This Row],[AW 1]]*10+Tabel2[[#This Row],[BONUS 1]]</f>
        <v>92</v>
      </c>
      <c r="T91">
        <v>3</v>
      </c>
      <c r="U91">
        <v>10</v>
      </c>
      <c r="V91">
        <v>7</v>
      </c>
      <c r="W91">
        <v>43</v>
      </c>
      <c r="Y91" s="153">
        <f>SUM(Tabel2[[#This Row],[V 2]]*10+Tabel2[[#This Row],[GT 2]])/Tabel2[[#This Row],[AW 2]]*10+Tabel2[[#This Row],[BONUS 2]]</f>
        <v>113</v>
      </c>
      <c r="AA91">
        <v>1</v>
      </c>
      <c r="AE91" s="153">
        <f>SUM(Tabel2[[#This Row],[V 3]]*10+Tabel2[[#This Row],[GT 3]])/Tabel2[[#This Row],[AW 3]]*10+Tabel2[[#This Row],[BONUS 3]]</f>
        <v>0</v>
      </c>
      <c r="AG91">
        <v>1</v>
      </c>
      <c r="AK91" s="153">
        <f>SUM(Tabel2[[#This Row],[V 4]]*10+Tabel2[[#This Row],[GT 4]])/Tabel2[[#This Row],[AW 4]]*10+Tabel2[[#This Row],[BONUS 4]]</f>
        <v>0</v>
      </c>
      <c r="AM91">
        <v>1</v>
      </c>
      <c r="AQ91" s="153">
        <f>SUM(Tabel2[[#This Row],[V 5]]*10+Tabel2[[#This Row],[GT 5]])/Tabel2[[#This Row],[AW 5]]*10+Tabel2[[#This Row],[BONUS 5]]</f>
        <v>0</v>
      </c>
      <c r="AS91">
        <v>1</v>
      </c>
      <c r="AW91" s="153">
        <f>SUM(Tabel2[[#This Row],[V 6]]*10+Tabel2[[#This Row],[GT 6]])/Tabel2[[#This Row],[AW 6]]*10+Tabel2[[#This Row],[BONUS 6]]</f>
        <v>0</v>
      </c>
      <c r="AY91">
        <v>1</v>
      </c>
      <c r="BC91" s="23">
        <f>SUM(Tabel2[[#This Row],[V 7]]*10+Tabel2[[#This Row],[GT 7]])/Tabel2[[#This Row],[AW 7]]*10+Tabel2[[#This Row],[BONUS 7]]</f>
        <v>0</v>
      </c>
      <c r="BE91">
        <v>1</v>
      </c>
      <c r="BI91" s="153">
        <f>SUM(Tabel2[[#This Row],[V 8]]*10+Tabel2[[#This Row],[GT 8]])/Tabel2[[#This Row],[AW 8]]*10+Tabel2[[#This Row],[BONUS 8]]</f>
        <v>0</v>
      </c>
      <c r="BK91">
        <v>1</v>
      </c>
      <c r="BO91" s="15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1" s="22">
        <v>250</v>
      </c>
      <c r="BX91" s="22">
        <f>Tabel2[[#This Row],[Diploma]]-Tabel2[[#This Row],[Uitgeschreven]]</f>
        <v>0</v>
      </c>
      <c r="BY91" s="155" t="str">
        <f>IF(BX91=0,"geen actie",CONCATENATE("diploma uitschrijven: ",BV91," punten"))</f>
        <v>geen actie</v>
      </c>
      <c r="CA91" s="150">
        <f>Tabel2[[#This Row],[pnt t/m 2021/22]]</f>
        <v>268.22222222222223</v>
      </c>
      <c r="CB91" s="150">
        <f>Tabel2[[#This Row],[pnt 2022/2023]]</f>
        <v>205</v>
      </c>
      <c r="CC91" s="150">
        <f t="shared" si="12"/>
        <v>473.22222222222223</v>
      </c>
      <c r="CD91" s="150">
        <f>IF(Tabel2[[#This Row],[LPR 1]]&gt;0,1,0)</f>
        <v>1</v>
      </c>
      <c r="CE91" s="150">
        <f>IF(Tabel2[[#This Row],[LPR 2]]&gt;0,1,0)</f>
        <v>1</v>
      </c>
      <c r="CF91" s="150">
        <f>IF(Tabel2[[#This Row],[LPR 3]]&gt;0,1,0)</f>
        <v>0</v>
      </c>
      <c r="CG91" s="150">
        <f>IF(Tabel2[[#This Row],[LPR 4]]&gt;0,1,0)</f>
        <v>0</v>
      </c>
      <c r="CH91" s="150">
        <f>IF(Tabel2[[#This Row],[LPR 5]]&gt;0,1,0)</f>
        <v>0</v>
      </c>
      <c r="CI91" s="150">
        <f>IF(Tabel2[[#This Row],[LPR 6]]&gt;0,1,0)</f>
        <v>0</v>
      </c>
      <c r="CJ91" s="150">
        <f>IF(Tabel2[[#This Row],[LPR 7]]&gt;0,1,0)</f>
        <v>0</v>
      </c>
      <c r="CK91" s="150">
        <f>IF(Tabel2[[#This Row],[LPR 8]]&gt;0,1,0)</f>
        <v>0</v>
      </c>
      <c r="CL91" s="150">
        <f>IF(Tabel2[[#This Row],[LPR 9]]&gt;0,1,0)</f>
        <v>0</v>
      </c>
      <c r="CM91" s="150">
        <f>IF(Tabel2[[#This Row],[LPR 10]]&gt;0,1,0)</f>
        <v>0</v>
      </c>
      <c r="CN91" s="150">
        <f>SUM(Tabel7[[#This Row],[sep]:[jun]])</f>
        <v>2</v>
      </c>
      <c r="CO91" s="22" t="str">
        <f t="shared" si="7"/>
        <v/>
      </c>
      <c r="CP91" s="22" t="str">
        <f t="shared" si="8"/>
        <v/>
      </c>
      <c r="CQ91" s="22" t="str">
        <f t="shared" si="9"/>
        <v/>
      </c>
      <c r="CR91" s="22" t="str">
        <f t="shared" si="10"/>
        <v/>
      </c>
      <c r="CS91" s="22" t="str">
        <f t="shared" si="11"/>
        <v/>
      </c>
    </row>
    <row r="92" spans="1:97" x14ac:dyDescent="0.3">
      <c r="A92" s="22" t="s">
        <v>169</v>
      </c>
      <c r="B92" s="22" t="s">
        <v>778</v>
      </c>
      <c r="D92" s="22" t="s">
        <v>783</v>
      </c>
      <c r="E92" t="s">
        <v>251</v>
      </c>
      <c r="F92" s="22">
        <v>119120</v>
      </c>
      <c r="G92" s="25" t="s">
        <v>167</v>
      </c>
      <c r="H92" s="142">
        <f>Tabel2[[#This Row],[pnt t/m 2021/22]]+Tabel2[[#This Row],[pnt 2022/2023]]</f>
        <v>1778.6630591630592</v>
      </c>
      <c r="I92">
        <v>2012</v>
      </c>
      <c r="J92">
        <v>2022</v>
      </c>
      <c r="K92" s="24">
        <f>Tabel2[[#This Row],[ijkdatum]]-Tabel2[[#This Row],[Geboren]]</f>
        <v>10</v>
      </c>
      <c r="L92" s="26">
        <f>Tabel2[[#This Row],[TTL 1]]+Tabel2[[#This Row],[TTL 2]]+Tabel2[[#This Row],[TTL 3]]+Tabel2[[#This Row],[TTL 4]]+Tabel2[[#This Row],[TTL 5]]+Tabel2[[#This Row],[TTL 6]]+Tabel2[[#This Row],[TTL 7]]+Tabel2[[#This Row],[TTL 8]]+Tabel2[[#This Row],[TTL 9]]+Tabel2[[#This Row],[TTL 10]]</f>
        <v>201.875</v>
      </c>
      <c r="M92" s="141">
        <v>1576.7880591630592</v>
      </c>
      <c r="N92">
        <v>10</v>
      </c>
      <c r="O92">
        <v>16</v>
      </c>
      <c r="P92">
        <v>10</v>
      </c>
      <c r="Q92">
        <v>63</v>
      </c>
      <c r="R92">
        <v>100</v>
      </c>
      <c r="S92" s="23">
        <f>SUM(Tabel2[[#This Row],[V 1]]*10+Tabel2[[#This Row],[GT 1]])/Tabel2[[#This Row],[AW 1]]*10+Tabel2[[#This Row],[BONUS 1]]</f>
        <v>201.875</v>
      </c>
      <c r="U92">
        <v>1</v>
      </c>
      <c r="Y92" s="23">
        <f>SUM(Tabel2[[#This Row],[V 2]]*10+Tabel2[[#This Row],[GT 2]])/Tabel2[[#This Row],[AW 2]]*10+Tabel2[[#This Row],[BONUS 2]]</f>
        <v>0</v>
      </c>
      <c r="AA92">
        <v>1</v>
      </c>
      <c r="AE92" s="23">
        <f>SUM(Tabel2[[#This Row],[V 3]]*10+Tabel2[[#This Row],[GT 3]])/Tabel2[[#This Row],[AW 3]]*10+Tabel2[[#This Row],[BONUS 3]]</f>
        <v>0</v>
      </c>
      <c r="AG92">
        <v>1</v>
      </c>
      <c r="AK92" s="23">
        <f>SUM(Tabel2[[#This Row],[V 4]]*10+Tabel2[[#This Row],[GT 4]])/Tabel2[[#This Row],[AW 4]]*10+Tabel2[[#This Row],[BONUS 4]]</f>
        <v>0</v>
      </c>
      <c r="AM92">
        <v>1</v>
      </c>
      <c r="AQ92" s="23">
        <f>SUM(Tabel2[[#This Row],[V 5]]*10+Tabel2[[#This Row],[GT 5]])/Tabel2[[#This Row],[AW 5]]*10+Tabel2[[#This Row],[BONUS 5]]</f>
        <v>0</v>
      </c>
      <c r="AS92">
        <v>1</v>
      </c>
      <c r="AW92" s="23">
        <f>SUM(Tabel2[[#This Row],[V 6]]*10+Tabel2[[#This Row],[GT 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92" s="22">
        <v>1500</v>
      </c>
      <c r="BX92" s="30">
        <f>Tabel2[[#This Row],[Diploma]]-Tabel2[[#This Row],[Uitgeschreven]]</f>
        <v>0</v>
      </c>
      <c r="BY92" s="2" t="str">
        <f>IF(BX92=0,"geen actie",CONCATENATE("diploma uitschrijven: ",BV92," punten"))</f>
        <v>geen actie</v>
      </c>
      <c r="CA92" s="150">
        <f>Tabel2[[#This Row],[pnt t/m 2021/22]]</f>
        <v>1576.7880591630592</v>
      </c>
      <c r="CB92" s="150">
        <f>Tabel2[[#This Row],[pnt 2022/2023]]</f>
        <v>201.875</v>
      </c>
      <c r="CC92" s="150">
        <f t="shared" si="12"/>
        <v>1778.6630591630592</v>
      </c>
      <c r="CD92" s="150">
        <f>IF(Tabel2[[#This Row],[LPR 1]]&gt;0,1,0)</f>
        <v>1</v>
      </c>
      <c r="CE92" s="150">
        <f>IF(Tabel2[[#This Row],[LPR 2]]&gt;0,1,0)</f>
        <v>0</v>
      </c>
      <c r="CF92" s="150">
        <f>IF(Tabel2[[#This Row],[LPR 3]]&gt;0,1,0)</f>
        <v>0</v>
      </c>
      <c r="CG92" s="150">
        <f>IF(Tabel2[[#This Row],[LPR 4]]&gt;0,1,0)</f>
        <v>0</v>
      </c>
      <c r="CH92" s="150">
        <f>IF(Tabel2[[#This Row],[LPR 5]]&gt;0,1,0)</f>
        <v>0</v>
      </c>
      <c r="CI92" s="150">
        <f>IF(Tabel2[[#This Row],[LPR 6]]&gt;0,1,0)</f>
        <v>0</v>
      </c>
      <c r="CJ92" s="150">
        <f>IF(Tabel2[[#This Row],[LPR 7]]&gt;0,1,0)</f>
        <v>0</v>
      </c>
      <c r="CK92" s="150">
        <f>IF(Tabel2[[#This Row],[LPR 8]]&gt;0,1,0)</f>
        <v>0</v>
      </c>
      <c r="CL92" s="150">
        <f>IF(Tabel2[[#This Row],[LPR 9]]&gt;0,1,0)</f>
        <v>0</v>
      </c>
      <c r="CM92" s="150">
        <f>IF(Tabel2[[#This Row],[LPR 10]]&gt;0,1,0)</f>
        <v>0</v>
      </c>
      <c r="CN92" s="150">
        <f>SUM(Tabel7[[#This Row],[sep]:[jun]])</f>
        <v>1</v>
      </c>
      <c r="CO92" s="22" t="str">
        <f t="shared" si="7"/>
        <v/>
      </c>
      <c r="CP92" s="22" t="str">
        <f t="shared" si="8"/>
        <v/>
      </c>
      <c r="CQ92" s="22" t="str">
        <f t="shared" si="9"/>
        <v/>
      </c>
      <c r="CR92" s="22" t="str">
        <f t="shared" si="10"/>
        <v/>
      </c>
      <c r="CS92" s="22" t="str">
        <f t="shared" si="11"/>
        <v/>
      </c>
    </row>
    <row r="93" spans="1:97" x14ac:dyDescent="0.3">
      <c r="A93" s="22" t="s">
        <v>153</v>
      </c>
      <c r="B93" s="22" t="s">
        <v>778</v>
      </c>
      <c r="D93" s="22" t="s">
        <v>137</v>
      </c>
      <c r="E93" t="s">
        <v>252</v>
      </c>
      <c r="F93" s="22">
        <v>120525</v>
      </c>
      <c r="G93" s="25" t="s">
        <v>177</v>
      </c>
      <c r="H93" s="142">
        <f>Tabel2[[#This Row],[pnt t/m 2021/22]]+Tabel2[[#This Row],[pnt 2022/2023]]</f>
        <v>318.88888888888891</v>
      </c>
      <c r="I93">
        <v>2014</v>
      </c>
      <c r="J93">
        <v>2022</v>
      </c>
      <c r="K93" s="24">
        <f>Tabel2[[#This Row],[ijkdatum]]-Tabel2[[#This Row],[Geboren]]</f>
        <v>8</v>
      </c>
      <c r="L93" s="26">
        <f>Tabel2[[#This Row],[TTL 1]]+Tabel2[[#This Row],[TTL 2]]+Tabel2[[#This Row],[TTL 3]]+Tabel2[[#This Row],[TTL 4]]+Tabel2[[#This Row],[TTL 5]]+Tabel2[[#This Row],[TTL 6]]+Tabel2[[#This Row],[TTL 7]]+Tabel2[[#This Row],[TTL 8]]+Tabel2[[#This Row],[TTL 9]]+Tabel2[[#This Row],[TTL 10]]</f>
        <v>82.888888888888886</v>
      </c>
      <c r="M93" s="153">
        <v>236</v>
      </c>
      <c r="N93">
        <v>4</v>
      </c>
      <c r="O93">
        <v>9</v>
      </c>
      <c r="P93">
        <v>1</v>
      </c>
      <c r="Q93">
        <v>25</v>
      </c>
      <c r="S93" s="153">
        <f>SUM(Tabel2[[#This Row],[V 1]]*10+Tabel2[[#This Row],[GT 1]])/Tabel2[[#This Row],[AW 1]]*10+Tabel2[[#This Row],[BONUS 1]]</f>
        <v>38.888888888888886</v>
      </c>
      <c r="T93">
        <v>3</v>
      </c>
      <c r="U93">
        <v>10</v>
      </c>
      <c r="V93">
        <v>1</v>
      </c>
      <c r="W93">
        <v>34</v>
      </c>
      <c r="Y93" s="153">
        <f>SUM(Tabel2[[#This Row],[V 2]]*10+Tabel2[[#This Row],[GT 2]])/Tabel2[[#This Row],[AW 2]]*10+Tabel2[[#This Row],[BONUS 2]]</f>
        <v>44</v>
      </c>
      <c r="AA93">
        <v>1</v>
      </c>
      <c r="AE93" s="153">
        <f>SUM(Tabel2[[#This Row],[V 3]]*10+Tabel2[[#This Row],[GT 3]])/Tabel2[[#This Row],[AW 3]]*10+Tabel2[[#This Row],[BONUS 3]]</f>
        <v>0</v>
      </c>
      <c r="AG93">
        <v>1</v>
      </c>
      <c r="AK93" s="153">
        <f>SUM(Tabel2[[#This Row],[V 4]]*10+Tabel2[[#This Row],[GT 4]])/Tabel2[[#This Row],[AW 4]]*10+Tabel2[[#This Row],[BONUS 4]]</f>
        <v>0</v>
      </c>
      <c r="AM93">
        <v>1</v>
      </c>
      <c r="AQ93" s="153">
        <f>SUM(Tabel2[[#This Row],[V 5]]*10+Tabel2[[#This Row],[GT 5]])/Tabel2[[#This Row],[AW 5]]*10+Tabel2[[#This Row],[BONUS 5]]</f>
        <v>0</v>
      </c>
      <c r="AS93">
        <v>1</v>
      </c>
      <c r="AW93" s="153">
        <f>SUM(Tabel2[[#This Row],[V 6]]*10+Tabel2[[#This Row],[GT 6]])/Tabel2[[#This Row],[AW 6]]*10+Tabel2[[#This Row],[BONUS 6]]</f>
        <v>0</v>
      </c>
      <c r="AY93">
        <v>1</v>
      </c>
      <c r="BC93" s="23">
        <f>SUM(Tabel2[[#This Row],[V 7]]*10+Tabel2[[#This Row],[GT 7]])/Tabel2[[#This Row],[AW 7]]*10+Tabel2[[#This Row],[BONUS 7]]</f>
        <v>0</v>
      </c>
      <c r="BE93">
        <v>1</v>
      </c>
      <c r="BI93" s="153">
        <f>SUM(Tabel2[[#This Row],[V 8]]*10+Tabel2[[#This Row],[GT 8]])/Tabel2[[#This Row],[AW 8]]*10+Tabel2[[#This Row],[BONUS 8]]</f>
        <v>0</v>
      </c>
      <c r="BK93">
        <v>1</v>
      </c>
      <c r="BO93" s="153">
        <f>SUM(Tabel2[[#This Row],[V 9]]*10+Tabel2[[#This Row],[GT 9]])/Tabel2[[#This Row],[AW 9]]*10+Tabel2[[#This Row],[BONUS 9]]</f>
        <v>0</v>
      </c>
      <c r="BQ93">
        <v>1</v>
      </c>
      <c r="BU93" s="23">
        <f>SUM(Tabel2[[#This Row],[V 10]]*10+Tabel2[[#This Row],[GT 10]])/Tabel2[[#This Row],[AW 10]]*10+Tabel2[[#This Row],[BONUS 10]]</f>
        <v>0</v>
      </c>
      <c r="BV9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3" s="22">
        <v>0</v>
      </c>
      <c r="BX93" s="22">
        <f>Tabel2[[#This Row],[Diploma]]-Tabel2[[#This Row],[Uitgeschreven]]</f>
        <v>250</v>
      </c>
      <c r="BY93" s="155" t="str">
        <f>IF(BX93=0,"geen actie",CONCATENATE("diploma uitschrijven: ",BV93," punten"))</f>
        <v>diploma uitschrijven: 250 punten</v>
      </c>
      <c r="CA93" s="150">
        <f>Tabel2[[#This Row],[pnt t/m 2021/22]]</f>
        <v>236</v>
      </c>
      <c r="CB93" s="150">
        <f>Tabel2[[#This Row],[pnt 2022/2023]]</f>
        <v>82.888888888888886</v>
      </c>
      <c r="CC93" s="150">
        <f t="shared" si="12"/>
        <v>318.88888888888891</v>
      </c>
      <c r="CD93" s="150">
        <f>IF(Tabel2[[#This Row],[LPR 1]]&gt;0,1,0)</f>
        <v>1</v>
      </c>
      <c r="CE93" s="150">
        <f>IF(Tabel2[[#This Row],[LPR 2]]&gt;0,1,0)</f>
        <v>1</v>
      </c>
      <c r="CF93" s="150">
        <f>IF(Tabel2[[#This Row],[LPR 3]]&gt;0,1,0)</f>
        <v>0</v>
      </c>
      <c r="CG93" s="150">
        <f>IF(Tabel2[[#This Row],[LPR 4]]&gt;0,1,0)</f>
        <v>0</v>
      </c>
      <c r="CH93" s="150">
        <f>IF(Tabel2[[#This Row],[LPR 5]]&gt;0,1,0)</f>
        <v>0</v>
      </c>
      <c r="CI93" s="150">
        <f>IF(Tabel2[[#This Row],[LPR 6]]&gt;0,1,0)</f>
        <v>0</v>
      </c>
      <c r="CJ93" s="150">
        <f>IF(Tabel2[[#This Row],[LPR 7]]&gt;0,1,0)</f>
        <v>0</v>
      </c>
      <c r="CK93" s="150">
        <f>IF(Tabel2[[#This Row],[LPR 8]]&gt;0,1,0)</f>
        <v>0</v>
      </c>
      <c r="CL93" s="150">
        <f>IF(Tabel2[[#This Row],[LPR 9]]&gt;0,1,0)</f>
        <v>0</v>
      </c>
      <c r="CM93" s="150">
        <f>IF(Tabel2[[#This Row],[LPR 10]]&gt;0,1,0)</f>
        <v>0</v>
      </c>
      <c r="CN93" s="150">
        <f>SUM(Tabel7[[#This Row],[sep]:[jun]])</f>
        <v>2</v>
      </c>
      <c r="CO93" s="22" t="str">
        <f t="shared" si="7"/>
        <v/>
      </c>
      <c r="CP93" s="22" t="str">
        <f t="shared" si="8"/>
        <v/>
      </c>
      <c r="CQ93" s="22" t="str">
        <f t="shared" si="9"/>
        <v/>
      </c>
      <c r="CR93" s="22" t="str">
        <f t="shared" si="10"/>
        <v/>
      </c>
      <c r="CS93" s="22" t="str">
        <f t="shared" si="11"/>
        <v/>
      </c>
    </row>
    <row r="94" spans="1:97" x14ac:dyDescent="0.3">
      <c r="A94" s="22" t="s">
        <v>135</v>
      </c>
      <c r="B94" s="22" t="s">
        <v>778</v>
      </c>
      <c r="D94" s="22" t="s">
        <v>137</v>
      </c>
      <c r="E94" t="s">
        <v>253</v>
      </c>
      <c r="F94" s="22">
        <v>117370</v>
      </c>
      <c r="G94" s="25" t="s">
        <v>180</v>
      </c>
      <c r="H94" s="142">
        <f>Tabel2[[#This Row],[pnt t/m 2021/22]]+Tabel2[[#This Row],[pnt 2022/2023]]</f>
        <v>1024.4444444444443</v>
      </c>
      <c r="I94">
        <v>2007</v>
      </c>
      <c r="J94">
        <v>2022</v>
      </c>
      <c r="K94" s="24">
        <f>Tabel2[[#This Row],[ijkdatum]]-Tabel2[[#This Row],[Geboren]]</f>
        <v>15</v>
      </c>
      <c r="L94" s="26">
        <f>Tabel2[[#This Row],[TTL 1]]+Tabel2[[#This Row],[TTL 2]]+Tabel2[[#This Row],[TTL 3]]+Tabel2[[#This Row],[TTL 4]]+Tabel2[[#This Row],[TTL 5]]+Tabel2[[#This Row],[TTL 6]]+Tabel2[[#This Row],[TTL 7]]+Tabel2[[#This Row],[TTL 8]]+Tabel2[[#This Row],[TTL 9]]+Tabel2[[#This Row],[TTL 10]]</f>
        <v>0</v>
      </c>
      <c r="M94" s="141">
        <v>1024.4444444444443</v>
      </c>
      <c r="O94">
        <v>1</v>
      </c>
      <c r="S94" s="23">
        <f>SUM(Tabel2[[#This Row],[V 1]]*10+Tabel2[[#This Row],[GT 1]])/Tabel2[[#This Row],[AW 1]]*10+Tabel2[[#This Row],[BONUS 1]]</f>
        <v>0</v>
      </c>
      <c r="U94">
        <v>1</v>
      </c>
      <c r="Y94" s="23">
        <f>SUM(Tabel2[[#This Row],[V 2]]*10+Tabel2[[#This Row],[GT 2]])/Tabel2[[#This Row],[AW 2]]*10+Tabel2[[#This Row],[BONUS 2]]</f>
        <v>0</v>
      </c>
      <c r="AA94">
        <v>1</v>
      </c>
      <c r="AE94" s="23">
        <f>SUM(Tabel2[[#This Row],[V 3]]*10+Tabel2[[#This Row],[GT 3]])/Tabel2[[#This Row],[AW 3]]*10+Tabel2[[#This Row],[BONUS 3]]</f>
        <v>0</v>
      </c>
      <c r="AG94">
        <v>1</v>
      </c>
      <c r="AK94" s="23">
        <f>SUM(Tabel2[[#This Row],[V 4]]*10+Tabel2[[#This Row],[GT 4]])/Tabel2[[#This Row],[AW 4]]*10+Tabel2[[#This Row],[BONUS 4]]</f>
        <v>0</v>
      </c>
      <c r="AM94">
        <v>1</v>
      </c>
      <c r="AQ94" s="23">
        <f>SUM(Tabel2[[#This Row],[V 5]]*10+Tabel2[[#This Row],[GT 5]])/Tabel2[[#This Row],[AW 5]]*10+Tabel2[[#This Row],[BONUS 5]]</f>
        <v>0</v>
      </c>
      <c r="AS94">
        <v>1</v>
      </c>
      <c r="AW94" s="23">
        <f>SUM(Tabel2[[#This Row],[V 6]]*10+Tabel2[[#This Row],[GT 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94" s="22">
        <v>1000</v>
      </c>
      <c r="BX94" s="30">
        <f>Tabel2[[#This Row],[Diploma]]-Tabel2[[#This Row],[Uitgeschreven]]</f>
        <v>0</v>
      </c>
      <c r="BY94" s="2" t="str">
        <f>IF(BX94=0,"geen actie",CONCATENATE("diploma uitschrijven: ",BV94," punten"))</f>
        <v>geen actie</v>
      </c>
      <c r="CA94" s="150">
        <f>Tabel2[[#This Row],[pnt t/m 2021/22]]</f>
        <v>1024.4444444444443</v>
      </c>
      <c r="CB94" s="150">
        <f>Tabel2[[#This Row],[pnt 2022/2023]]</f>
        <v>0</v>
      </c>
      <c r="CC94" s="150">
        <f t="shared" si="12"/>
        <v>1024.4444444444443</v>
      </c>
      <c r="CD94" s="150">
        <f>IF(Tabel2[[#This Row],[LPR 1]]&gt;0,1,0)</f>
        <v>0</v>
      </c>
      <c r="CE94" s="150">
        <f>IF(Tabel2[[#This Row],[LPR 2]]&gt;0,1,0)</f>
        <v>0</v>
      </c>
      <c r="CF94" s="150">
        <f>IF(Tabel2[[#This Row],[LPR 3]]&gt;0,1,0)</f>
        <v>0</v>
      </c>
      <c r="CG94" s="150">
        <f>IF(Tabel2[[#This Row],[LPR 4]]&gt;0,1,0)</f>
        <v>0</v>
      </c>
      <c r="CH94" s="150">
        <f>IF(Tabel2[[#This Row],[LPR 5]]&gt;0,1,0)</f>
        <v>0</v>
      </c>
      <c r="CI94" s="150">
        <f>IF(Tabel2[[#This Row],[LPR 6]]&gt;0,1,0)</f>
        <v>0</v>
      </c>
      <c r="CJ94" s="150">
        <f>IF(Tabel2[[#This Row],[LPR 7]]&gt;0,1,0)</f>
        <v>0</v>
      </c>
      <c r="CK94" s="150">
        <f>IF(Tabel2[[#This Row],[LPR 8]]&gt;0,1,0)</f>
        <v>0</v>
      </c>
      <c r="CL94" s="150">
        <f>IF(Tabel2[[#This Row],[LPR 9]]&gt;0,1,0)</f>
        <v>0</v>
      </c>
      <c r="CM94" s="150">
        <f>IF(Tabel2[[#This Row],[LPR 10]]&gt;0,1,0)</f>
        <v>0</v>
      </c>
      <c r="CN94" s="150">
        <f>SUM(Tabel7[[#This Row],[sep]:[jun]])</f>
        <v>0</v>
      </c>
      <c r="CO94" s="22" t="str">
        <f t="shared" si="7"/>
        <v/>
      </c>
      <c r="CP94" s="22" t="str">
        <f t="shared" si="8"/>
        <v/>
      </c>
      <c r="CQ94" s="22" t="str">
        <f t="shared" si="9"/>
        <v/>
      </c>
      <c r="CR94" s="22" t="str">
        <f t="shared" si="10"/>
        <v/>
      </c>
      <c r="CS94" s="22" t="str">
        <f t="shared" si="11"/>
        <v/>
      </c>
    </row>
    <row r="95" spans="1:97" x14ac:dyDescent="0.3">
      <c r="A95" s="22" t="s">
        <v>135</v>
      </c>
      <c r="B95" s="22" t="s">
        <v>778</v>
      </c>
      <c r="D95" s="22" t="s">
        <v>783</v>
      </c>
      <c r="E95" t="s">
        <v>254</v>
      </c>
      <c r="F95" s="22">
        <v>117369</v>
      </c>
      <c r="G95" s="25" t="s">
        <v>180</v>
      </c>
      <c r="H95" s="142">
        <f>Tabel2[[#This Row],[pnt t/m 2021/22]]+Tabel2[[#This Row],[pnt 2022/2023]]</f>
        <v>1949.8769841269841</v>
      </c>
      <c r="I95">
        <v>2009</v>
      </c>
      <c r="J95">
        <v>2022</v>
      </c>
      <c r="K95" s="24">
        <f>Tabel2[[#This Row],[ijkdatum]]-Tabel2[[#This Row],[Geboren]]</f>
        <v>13</v>
      </c>
      <c r="L95" s="26">
        <f>Tabel2[[#This Row],[TTL 1]]+Tabel2[[#This Row],[TTL 2]]+Tabel2[[#This Row],[TTL 3]]+Tabel2[[#This Row],[TTL 4]]+Tabel2[[#This Row],[TTL 5]]+Tabel2[[#This Row],[TTL 6]]+Tabel2[[#This Row],[TTL 7]]+Tabel2[[#This Row],[TTL 8]]+Tabel2[[#This Row],[TTL 9]]+Tabel2[[#This Row],[TTL 10]]</f>
        <v>45</v>
      </c>
      <c r="M95" s="141">
        <v>1904.8769841269841</v>
      </c>
      <c r="N95">
        <v>2</v>
      </c>
      <c r="O95">
        <v>6</v>
      </c>
      <c r="P95">
        <v>1</v>
      </c>
      <c r="Q95">
        <v>17</v>
      </c>
      <c r="S95" s="23">
        <f>SUM(Tabel2[[#This Row],[V 1]]*10+Tabel2[[#This Row],[GT 1]])/Tabel2[[#This Row],[AW 1]]*10+Tabel2[[#This Row],[BONUS 1]]</f>
        <v>45</v>
      </c>
      <c r="U95">
        <v>1</v>
      </c>
      <c r="Y95" s="23">
        <f>SUM(Tabel2[[#This Row],[V 2]]*10+Tabel2[[#This Row],[GT 2]])/Tabel2[[#This Row],[AW 2]]*10+Tabel2[[#This Row],[BONUS 2]]</f>
        <v>0</v>
      </c>
      <c r="AA95">
        <v>1</v>
      </c>
      <c r="AE95" s="23">
        <f>SUM(Tabel2[[#This Row],[V 3]]*10+Tabel2[[#This Row],[GT 3]])/Tabel2[[#This Row],[AW 3]]*10+Tabel2[[#This Row],[BONUS 3]]</f>
        <v>0</v>
      </c>
      <c r="AG95">
        <v>1</v>
      </c>
      <c r="AK95" s="23">
        <f>SUM(Tabel2[[#This Row],[V 4]]*10+Tabel2[[#This Row],[GT 4]])/Tabel2[[#This Row],[AW 4]]*10+Tabel2[[#This Row],[BONUS 4]]</f>
        <v>0</v>
      </c>
      <c r="AM95">
        <v>1</v>
      </c>
      <c r="AQ95" s="23">
        <f>SUM(Tabel2[[#This Row],[V 5]]*10+Tabel2[[#This Row],[GT 5]])/Tabel2[[#This Row],[AW 5]]*10+Tabel2[[#This Row],[BONUS 5]]</f>
        <v>0</v>
      </c>
      <c r="AS95">
        <v>1</v>
      </c>
      <c r="AW95" s="23">
        <f>SUM(Tabel2[[#This Row],[V 6]]*10+Tabel2[[#This Row],[GT 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95" s="22">
        <v>1500</v>
      </c>
      <c r="BX95" s="30">
        <f>Tabel2[[#This Row],[Diploma]]-Tabel2[[#This Row],[Uitgeschreven]]</f>
        <v>0</v>
      </c>
      <c r="BY95" s="2" t="str">
        <f>IF(BX95=0,"geen actie",CONCATENATE("diploma uitschrijven: ",BV95," punten"))</f>
        <v>geen actie</v>
      </c>
      <c r="CA95" s="150">
        <f>Tabel2[[#This Row],[pnt t/m 2021/22]]</f>
        <v>1904.8769841269841</v>
      </c>
      <c r="CB95" s="150">
        <f>Tabel2[[#This Row],[pnt 2022/2023]]</f>
        <v>45</v>
      </c>
      <c r="CC95" s="150">
        <f t="shared" si="12"/>
        <v>1949.8769841269841</v>
      </c>
      <c r="CD95" s="150">
        <f>IF(Tabel2[[#This Row],[LPR 1]]&gt;0,1,0)</f>
        <v>1</v>
      </c>
      <c r="CE95" s="150">
        <f>IF(Tabel2[[#This Row],[LPR 2]]&gt;0,1,0)</f>
        <v>0</v>
      </c>
      <c r="CF95" s="150">
        <f>IF(Tabel2[[#This Row],[LPR 3]]&gt;0,1,0)</f>
        <v>0</v>
      </c>
      <c r="CG95" s="150">
        <f>IF(Tabel2[[#This Row],[LPR 4]]&gt;0,1,0)</f>
        <v>0</v>
      </c>
      <c r="CH95" s="150">
        <f>IF(Tabel2[[#This Row],[LPR 5]]&gt;0,1,0)</f>
        <v>0</v>
      </c>
      <c r="CI95" s="150">
        <f>IF(Tabel2[[#This Row],[LPR 6]]&gt;0,1,0)</f>
        <v>0</v>
      </c>
      <c r="CJ95" s="150">
        <f>IF(Tabel2[[#This Row],[LPR 7]]&gt;0,1,0)</f>
        <v>0</v>
      </c>
      <c r="CK95" s="150">
        <f>IF(Tabel2[[#This Row],[LPR 8]]&gt;0,1,0)</f>
        <v>0</v>
      </c>
      <c r="CL95" s="150">
        <f>IF(Tabel2[[#This Row],[LPR 9]]&gt;0,1,0)</f>
        <v>0</v>
      </c>
      <c r="CM95" s="150">
        <f>IF(Tabel2[[#This Row],[LPR 10]]&gt;0,1,0)</f>
        <v>0</v>
      </c>
      <c r="CN95" s="150">
        <f>SUM(Tabel7[[#This Row],[sep]:[jun]])</f>
        <v>1</v>
      </c>
      <c r="CO95" s="22" t="str">
        <f t="shared" si="7"/>
        <v/>
      </c>
      <c r="CP95" s="22" t="str">
        <f t="shared" si="8"/>
        <v/>
      </c>
      <c r="CQ95" s="22" t="str">
        <f t="shared" si="9"/>
        <v/>
      </c>
      <c r="CR95" s="22" t="str">
        <f t="shared" si="10"/>
        <v/>
      </c>
      <c r="CS95" s="22" t="str">
        <f t="shared" si="11"/>
        <v/>
      </c>
    </row>
    <row r="96" spans="1:97" x14ac:dyDescent="0.3">
      <c r="A96" s="22" t="s">
        <v>135</v>
      </c>
      <c r="B96" s="22" t="s">
        <v>778</v>
      </c>
      <c r="D96" s="22" t="s">
        <v>783</v>
      </c>
      <c r="E96" t="s">
        <v>255</v>
      </c>
      <c r="F96" s="22">
        <v>117368</v>
      </c>
      <c r="G96" s="25" t="s">
        <v>180</v>
      </c>
      <c r="H96" s="142">
        <f>Tabel2[[#This Row],[pnt t/m 2021/22]]+Tabel2[[#This Row],[pnt 2022/2023]]</f>
        <v>1221.4646464646466</v>
      </c>
      <c r="I96">
        <v>2011</v>
      </c>
      <c r="J96">
        <v>2022</v>
      </c>
      <c r="K96" s="24">
        <f>Tabel2[[#This Row],[ijkdatum]]-Tabel2[[#This Row],[Geboren]]</f>
        <v>11</v>
      </c>
      <c r="L96" s="26">
        <f>Tabel2[[#This Row],[TTL 1]]+Tabel2[[#This Row],[TTL 2]]+Tabel2[[#This Row],[TTL 3]]+Tabel2[[#This Row],[TTL 4]]+Tabel2[[#This Row],[TTL 5]]+Tabel2[[#This Row],[TTL 6]]+Tabel2[[#This Row],[TTL 7]]+Tabel2[[#This Row],[TTL 8]]+Tabel2[[#This Row],[TTL 9]]+Tabel2[[#This Row],[TTL 10]]</f>
        <v>37</v>
      </c>
      <c r="M96" s="141">
        <v>1184.4646464646466</v>
      </c>
      <c r="N96">
        <v>3</v>
      </c>
      <c r="O96">
        <v>10</v>
      </c>
      <c r="P96">
        <v>1</v>
      </c>
      <c r="Q96">
        <v>27</v>
      </c>
      <c r="S96" s="23">
        <f>SUM(Tabel2[[#This Row],[V 1]]*10+Tabel2[[#This Row],[GT 1]])/Tabel2[[#This Row],[AW 1]]*10+Tabel2[[#This Row],[BONUS 1]]</f>
        <v>37</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 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96" s="22">
        <v>1000</v>
      </c>
      <c r="BX96" s="30">
        <f>Tabel2[[#This Row],[Diploma]]-Tabel2[[#This Row],[Uitgeschreven]]</f>
        <v>0</v>
      </c>
      <c r="BY96" s="2" t="str">
        <f>IF(BX96=0,"geen actie",CONCATENATE("diploma uitschrijven: ",BV96," punten"))</f>
        <v>geen actie</v>
      </c>
      <c r="CA96" s="150">
        <f>Tabel2[[#This Row],[pnt t/m 2021/22]]</f>
        <v>1184.4646464646466</v>
      </c>
      <c r="CB96" s="150">
        <f>Tabel2[[#This Row],[pnt 2022/2023]]</f>
        <v>37</v>
      </c>
      <c r="CC96" s="150">
        <f t="shared" si="12"/>
        <v>1221.4646464646466</v>
      </c>
      <c r="CD96" s="150">
        <f>IF(Tabel2[[#This Row],[LPR 1]]&gt;0,1,0)</f>
        <v>1</v>
      </c>
      <c r="CE96" s="150">
        <f>IF(Tabel2[[#This Row],[LPR 2]]&gt;0,1,0)</f>
        <v>0</v>
      </c>
      <c r="CF96" s="150">
        <f>IF(Tabel2[[#This Row],[LPR 3]]&gt;0,1,0)</f>
        <v>0</v>
      </c>
      <c r="CG96" s="150">
        <f>IF(Tabel2[[#This Row],[LPR 4]]&gt;0,1,0)</f>
        <v>0</v>
      </c>
      <c r="CH96" s="150">
        <f>IF(Tabel2[[#This Row],[LPR 5]]&gt;0,1,0)</f>
        <v>0</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1</v>
      </c>
      <c r="CO96" s="22" t="str">
        <f t="shared" si="7"/>
        <v/>
      </c>
      <c r="CP96" s="22" t="str">
        <f t="shared" si="8"/>
        <v/>
      </c>
      <c r="CQ96" s="22" t="str">
        <f t="shared" si="9"/>
        <v/>
      </c>
      <c r="CR96" s="22" t="str">
        <f t="shared" si="10"/>
        <v/>
      </c>
      <c r="CS96" s="22" t="str">
        <f t="shared" si="11"/>
        <v/>
      </c>
    </row>
    <row r="97" spans="1:97" x14ac:dyDescent="0.3">
      <c r="A97" s="22" t="s">
        <v>135</v>
      </c>
      <c r="B97" s="22" t="s">
        <v>778</v>
      </c>
      <c r="D97" s="22" t="s">
        <v>137</v>
      </c>
      <c r="E97" t="s">
        <v>256</v>
      </c>
      <c r="F97" s="22">
        <v>120015</v>
      </c>
      <c r="G97" s="25" t="s">
        <v>174</v>
      </c>
      <c r="H97" s="142">
        <f>Tabel2[[#This Row],[pnt t/m 2021/22]]+Tabel2[[#This Row],[pnt 2022/2023]]</f>
        <v>514.49855699855709</v>
      </c>
      <c r="I97">
        <v>2008</v>
      </c>
      <c r="J97">
        <v>2022</v>
      </c>
      <c r="K97" s="24">
        <f>Tabel2[[#This Row],[ijkdatum]]-Tabel2[[#This Row],[Geboren]]</f>
        <v>14</v>
      </c>
      <c r="L97" s="26">
        <f>Tabel2[[#This Row],[TTL 1]]+Tabel2[[#This Row],[TTL 2]]+Tabel2[[#This Row],[TTL 3]]+Tabel2[[#This Row],[TTL 4]]+Tabel2[[#This Row],[TTL 5]]+Tabel2[[#This Row],[TTL 6]]+Tabel2[[#This Row],[TTL 7]]+Tabel2[[#This Row],[TTL 8]]+Tabel2[[#This Row],[TTL 9]]+Tabel2[[#This Row],[TTL 10]]</f>
        <v>0</v>
      </c>
      <c r="M97" s="141">
        <v>514.49855699855709</v>
      </c>
      <c r="O97">
        <v>1</v>
      </c>
      <c r="S97" s="23">
        <f>SUM(Tabel2[[#This Row],[V 1]]*10+Tabel2[[#This Row],[GT 1]])/Tabel2[[#This Row],[AW 1]]*10+Tabel2[[#This Row],[BONUS 1]]</f>
        <v>0</v>
      </c>
      <c r="U97">
        <v>1</v>
      </c>
      <c r="Y97" s="23">
        <f>SUM(Tabel2[[#This Row],[V 2]]*10+Tabel2[[#This Row],[GT 2]])/Tabel2[[#This Row],[AW 2]]*10+Tabel2[[#This Row],[BONUS 2]]</f>
        <v>0</v>
      </c>
      <c r="AA97">
        <v>1</v>
      </c>
      <c r="AE97" s="23">
        <f>SUM(Tabel2[[#This Row],[V 3]]*10+Tabel2[[#This Row],[GT 3]])/Tabel2[[#This Row],[AW 3]]*10+Tabel2[[#This Row],[BONUS 3]]</f>
        <v>0</v>
      </c>
      <c r="AG97">
        <v>1</v>
      </c>
      <c r="AK97" s="23">
        <f>SUM(Tabel2[[#This Row],[V 4]]*10+Tabel2[[#This Row],[GT 4]])/Tabel2[[#This Row],[AW 4]]*10+Tabel2[[#This Row],[BONUS 4]]</f>
        <v>0</v>
      </c>
      <c r="AM97">
        <v>1</v>
      </c>
      <c r="AQ97" s="23">
        <f>SUM(Tabel2[[#This Row],[V 5]]*10+Tabel2[[#This Row],[GT 5]])/Tabel2[[#This Row],[AW 5]]*10+Tabel2[[#This Row],[BONUS 5]]</f>
        <v>0</v>
      </c>
      <c r="AS97">
        <v>1</v>
      </c>
      <c r="AW97" s="23">
        <f>SUM(Tabel2[[#This Row],[V 6]]*10+Tabel2[[#This Row],[GT 6]])/Tabel2[[#This Row],[AW 6]]*10+Tabel2[[#This Row],[BONUS 6]]</f>
        <v>0</v>
      </c>
      <c r="AY97">
        <v>1</v>
      </c>
      <c r="BC97" s="23">
        <f>SUM(Tabel2[[#This Row],[V 7]]*10+Tabel2[[#This Row],[GT 7]])/Tabel2[[#This Row],[AW 7]]*10+Tabel2[[#This Row],[BONUS 7]]</f>
        <v>0</v>
      </c>
      <c r="BE97">
        <v>1</v>
      </c>
      <c r="BI97" s="23">
        <f>SUM(Tabel2[[#This Row],[V 8]]*10+Tabel2[[#This Row],[GT 8]])/Tabel2[[#This Row],[AW 8]]*10+Tabel2[[#This Row],[BONUS 8]]</f>
        <v>0</v>
      </c>
      <c r="BK97">
        <v>1</v>
      </c>
      <c r="BO97" s="23">
        <f>SUM(Tabel2[[#This Row],[V 9]]*10+Tabel2[[#This Row],[GT 9]])/Tabel2[[#This Row],[AW 9]]*10+Tabel2[[#This Row],[BONUS 9]]</f>
        <v>0</v>
      </c>
      <c r="BQ97">
        <v>1</v>
      </c>
      <c r="BU97" s="23">
        <f>SUM(Tabel2[[#This Row],[V 10]]*10+Tabel2[[#This Row],[GT 10]])/Tabel2[[#This Row],[AW 10]]*10+Tabel2[[#This Row],[BONUS 10]]</f>
        <v>0</v>
      </c>
      <c r="BV9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7" s="22">
        <v>500</v>
      </c>
      <c r="BX97" s="30">
        <f>Tabel2[[#This Row],[Diploma]]-Tabel2[[#This Row],[Uitgeschreven]]</f>
        <v>0</v>
      </c>
      <c r="BY97" s="2" t="str">
        <f>IF(BX97=0,"geen actie",CONCATENATE("diploma uitschrijven: ",BV97," punten"))</f>
        <v>geen actie</v>
      </c>
      <c r="CA97" s="150">
        <f>Tabel2[[#This Row],[pnt t/m 2021/22]]</f>
        <v>514.49855699855709</v>
      </c>
      <c r="CB97" s="150">
        <f>Tabel2[[#This Row],[pnt 2022/2023]]</f>
        <v>0</v>
      </c>
      <c r="CC97" s="150">
        <f t="shared" si="12"/>
        <v>514.49855699855709</v>
      </c>
      <c r="CD97" s="150">
        <f>IF(Tabel2[[#This Row],[LPR 1]]&gt;0,1,0)</f>
        <v>0</v>
      </c>
      <c r="CE97" s="150">
        <f>IF(Tabel2[[#This Row],[LPR 2]]&gt;0,1,0)</f>
        <v>0</v>
      </c>
      <c r="CF97" s="150">
        <f>IF(Tabel2[[#This Row],[LPR 3]]&gt;0,1,0)</f>
        <v>0</v>
      </c>
      <c r="CG97" s="150">
        <f>IF(Tabel2[[#This Row],[LPR 4]]&gt;0,1,0)</f>
        <v>0</v>
      </c>
      <c r="CH97" s="150">
        <f>IF(Tabel2[[#This Row],[LPR 5]]&gt;0,1,0)</f>
        <v>0</v>
      </c>
      <c r="CI97" s="150">
        <f>IF(Tabel2[[#This Row],[LPR 6]]&gt;0,1,0)</f>
        <v>0</v>
      </c>
      <c r="CJ97" s="150">
        <f>IF(Tabel2[[#This Row],[LPR 7]]&gt;0,1,0)</f>
        <v>0</v>
      </c>
      <c r="CK97" s="150">
        <f>IF(Tabel2[[#This Row],[LPR 8]]&gt;0,1,0)</f>
        <v>0</v>
      </c>
      <c r="CL97" s="150">
        <f>IF(Tabel2[[#This Row],[LPR 9]]&gt;0,1,0)</f>
        <v>0</v>
      </c>
      <c r="CM97" s="150">
        <f>IF(Tabel2[[#This Row],[LPR 10]]&gt;0,1,0)</f>
        <v>0</v>
      </c>
      <c r="CN97" s="150">
        <f>SUM(Tabel7[[#This Row],[sep]:[jun]])</f>
        <v>0</v>
      </c>
      <c r="CO97" s="22" t="str">
        <f t="shared" si="7"/>
        <v/>
      </c>
      <c r="CP97" s="22" t="str">
        <f t="shared" si="8"/>
        <v/>
      </c>
      <c r="CQ97" s="22" t="str">
        <f t="shared" si="9"/>
        <v/>
      </c>
      <c r="CR97" s="22" t="str">
        <f t="shared" si="10"/>
        <v/>
      </c>
      <c r="CS97" s="22" t="str">
        <f t="shared" si="11"/>
        <v/>
      </c>
    </row>
    <row r="98" spans="1:97" x14ac:dyDescent="0.3">
      <c r="A98" s="22" t="s">
        <v>143</v>
      </c>
      <c r="B98" s="22" t="s">
        <v>778</v>
      </c>
      <c r="D98" s="22" t="s">
        <v>137</v>
      </c>
      <c r="E98" t="s">
        <v>257</v>
      </c>
      <c r="F98" s="22">
        <v>119271</v>
      </c>
      <c r="G98" s="25" t="s">
        <v>161</v>
      </c>
      <c r="H98" s="142">
        <f>Tabel2[[#This Row],[pnt t/m 2021/22]]+Tabel2[[#This Row],[pnt 2022/2023]]</f>
        <v>910.2533577533577</v>
      </c>
      <c r="I98">
        <v>2010</v>
      </c>
      <c r="J98">
        <v>2022</v>
      </c>
      <c r="K98" s="24">
        <f>Tabel2[[#This Row],[ijkdatum]]-Tabel2[[#This Row],[Geboren]]</f>
        <v>12</v>
      </c>
      <c r="L98" s="26">
        <f>Tabel2[[#This Row],[TTL 1]]+Tabel2[[#This Row],[TTL 2]]+Tabel2[[#This Row],[TTL 3]]+Tabel2[[#This Row],[TTL 4]]+Tabel2[[#This Row],[TTL 5]]+Tabel2[[#This Row],[TTL 6]]+Tabel2[[#This Row],[TTL 7]]+Tabel2[[#This Row],[TTL 8]]+Tabel2[[#This Row],[TTL 9]]+Tabel2[[#This Row],[TTL 10]]</f>
        <v>0</v>
      </c>
      <c r="M98" s="157">
        <v>910.2533577533577</v>
      </c>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G98">
        <v>1</v>
      </c>
      <c r="AK98" s="23">
        <f>SUM(Tabel2[[#This Row],[V 4]]*10+Tabel2[[#This Row],[GT 4]])/Tabel2[[#This Row],[AW 4]]*10+Tabel2[[#This Row],[BONUS 4]]</f>
        <v>0</v>
      </c>
      <c r="AM98">
        <v>1</v>
      </c>
      <c r="AQ98" s="23">
        <f>SUM(Tabel2[[#This Row],[V 5]]*10+Tabel2[[#This Row],[GT 5]])/Tabel2[[#This Row],[AW 5]]*10+Tabel2[[#This Row],[BONUS 5]]</f>
        <v>0</v>
      </c>
      <c r="AS98">
        <v>1</v>
      </c>
      <c r="AW98" s="23">
        <f>SUM(Tabel2[[#This Row],[V 6]]*10+Tabel2[[#This Row],[GT 6]])/Tabel2[[#This Row],[AW 6]]*10+Tabel2[[#This Row],[BONUS 6]]</f>
        <v>0</v>
      </c>
      <c r="AY98">
        <v>1</v>
      </c>
      <c r="BC98" s="23">
        <f>SUM(Tabel2[[#This Row],[V 7]]*10+Tabel2[[#This Row],[GT 7]])/Tabel2[[#This Row],[AW 7]]*10+Tabel2[[#This Row],[BONUS 7]]</f>
        <v>0</v>
      </c>
      <c r="BE98">
        <v>1</v>
      </c>
      <c r="BI98" s="23">
        <f>SUM(Tabel2[[#This Row],[V 8]]*10+Tabel2[[#This Row],[GT 8]])/Tabel2[[#This Row],[AW 8]]*10+Tabel2[[#This Row],[BONUS 8]]</f>
        <v>0</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8" s="22">
        <v>750</v>
      </c>
      <c r="BX98" s="30">
        <f>Tabel2[[#This Row],[Diploma]]-Tabel2[[#This Row],[Uitgeschreven]]</f>
        <v>0</v>
      </c>
      <c r="BY98" s="2" t="str">
        <f>IF(BX98=0,"geen actie",CONCATENATE("diploma uitschrijven: ",BV98," punten"))</f>
        <v>geen actie</v>
      </c>
      <c r="CA98" s="150">
        <f>Tabel2[[#This Row],[pnt t/m 2021/22]]</f>
        <v>910.2533577533577</v>
      </c>
      <c r="CB98" s="150">
        <f>Tabel2[[#This Row],[pnt 2022/2023]]</f>
        <v>0</v>
      </c>
      <c r="CC98" s="150">
        <f t="shared" si="12"/>
        <v>910.2533577533577</v>
      </c>
      <c r="CD98" s="150">
        <f>IF(Tabel2[[#This Row],[LPR 1]]&gt;0,1,0)</f>
        <v>0</v>
      </c>
      <c r="CE98" s="150">
        <f>IF(Tabel2[[#This Row],[LPR 2]]&gt;0,1,0)</f>
        <v>0</v>
      </c>
      <c r="CF98" s="150">
        <f>IF(Tabel2[[#This Row],[LPR 3]]&gt;0,1,0)</f>
        <v>0</v>
      </c>
      <c r="CG98" s="150">
        <f>IF(Tabel2[[#This Row],[LPR 4]]&gt;0,1,0)</f>
        <v>0</v>
      </c>
      <c r="CH98" s="150">
        <f>IF(Tabel2[[#This Row],[LPR 5]]&gt;0,1,0)</f>
        <v>0</v>
      </c>
      <c r="CI98" s="150">
        <f>IF(Tabel2[[#This Row],[LPR 6]]&gt;0,1,0)</f>
        <v>0</v>
      </c>
      <c r="CJ98" s="150">
        <f>IF(Tabel2[[#This Row],[LPR 7]]&gt;0,1,0)</f>
        <v>0</v>
      </c>
      <c r="CK98" s="150">
        <f>IF(Tabel2[[#This Row],[LPR 8]]&gt;0,1,0)</f>
        <v>0</v>
      </c>
      <c r="CL98" s="150">
        <f>IF(Tabel2[[#This Row],[LPR 9]]&gt;0,1,0)</f>
        <v>0</v>
      </c>
      <c r="CM98" s="150">
        <f>IF(Tabel2[[#This Row],[LPR 10]]&gt;0,1,0)</f>
        <v>0</v>
      </c>
      <c r="CN98" s="150">
        <f>SUM(Tabel7[[#This Row],[sep]:[jun]])</f>
        <v>0</v>
      </c>
      <c r="CO98" s="22" t="str">
        <f t="shared" si="7"/>
        <v/>
      </c>
      <c r="CP98" s="22" t="str">
        <f t="shared" si="8"/>
        <v/>
      </c>
      <c r="CQ98" s="22" t="str">
        <f t="shared" si="9"/>
        <v/>
      </c>
      <c r="CR98" s="22" t="str">
        <f t="shared" si="10"/>
        <v/>
      </c>
      <c r="CS98" s="22" t="str">
        <f t="shared" si="11"/>
        <v/>
      </c>
    </row>
    <row r="99" spans="1:97" x14ac:dyDescent="0.3">
      <c r="A99" s="22" t="s">
        <v>153</v>
      </c>
      <c r="B99" s="22" t="s">
        <v>778</v>
      </c>
      <c r="D99" s="22" t="s">
        <v>137</v>
      </c>
      <c r="E99" t="s">
        <v>258</v>
      </c>
      <c r="F99">
        <v>120639</v>
      </c>
      <c r="G99" s="25" t="s">
        <v>182</v>
      </c>
      <c r="H99" s="23">
        <f>Tabel2[[#This Row],[pnt t/m 2021/22]]+Tabel2[[#This Row],[pnt 2022/2023]]</f>
        <v>71.111111111111114</v>
      </c>
      <c r="I99">
        <v>2011</v>
      </c>
      <c r="J99">
        <v>2022</v>
      </c>
      <c r="K99" s="24">
        <f>Tabel2[[#This Row],[ijkdatum]]-Tabel2[[#This Row],[Geboren]]</f>
        <v>11</v>
      </c>
      <c r="L99" s="26">
        <f>Tabel2[[#This Row],[TTL 1]]+Tabel2[[#This Row],[TTL 2]]+Tabel2[[#This Row],[TTL 3]]+Tabel2[[#This Row],[TTL 4]]+Tabel2[[#This Row],[TTL 5]]+Tabel2[[#This Row],[TTL 6]]+Tabel2[[#This Row],[TTL 7]]+Tabel2[[#This Row],[TTL 8]]+Tabel2[[#This Row],[TTL 9]]+Tabel2[[#This Row],[TTL 10]]</f>
        <v>0</v>
      </c>
      <c r="M99" s="153">
        <v>71.111111111111114</v>
      </c>
      <c r="O99">
        <v>1</v>
      </c>
      <c r="S99" s="153">
        <f>SUM(Tabel2[[#This Row],[V 1]]*10+Tabel2[[#This Row],[GT 1]])/Tabel2[[#This Row],[AW 1]]*10+Tabel2[[#This Row],[BONUS 1]]</f>
        <v>0</v>
      </c>
      <c r="U99">
        <v>1</v>
      </c>
      <c r="Y99" s="153">
        <f>SUM(Tabel2[[#This Row],[V 2]]*10+Tabel2[[#This Row],[GT 2]])/Tabel2[[#This Row],[AW 2]]*10+Tabel2[[#This Row],[BONUS 2]]</f>
        <v>0</v>
      </c>
      <c r="AA99">
        <v>1</v>
      </c>
      <c r="AE99" s="153">
        <f>SUM(Tabel2[[#This Row],[V 3]]*10+Tabel2[[#This Row],[GT 3]])/Tabel2[[#This Row],[AW 3]]*10+Tabel2[[#This Row],[BONUS 3]]</f>
        <v>0</v>
      </c>
      <c r="AG99">
        <v>1</v>
      </c>
      <c r="AK99" s="153">
        <f>SUM(Tabel2[[#This Row],[V 4]]*10+Tabel2[[#This Row],[GT 4]])/Tabel2[[#This Row],[AW 4]]*10+Tabel2[[#This Row],[BONUS 4]]</f>
        <v>0</v>
      </c>
      <c r="AM99">
        <v>1</v>
      </c>
      <c r="AQ99" s="153">
        <f>SUM(Tabel2[[#This Row],[V 5]]*10+Tabel2[[#This Row],[GT 5]])/Tabel2[[#This Row],[AW 5]]*10+Tabel2[[#This Row],[BONUS 5]]</f>
        <v>0</v>
      </c>
      <c r="AS99">
        <v>1</v>
      </c>
      <c r="AW99" s="153">
        <f>SUM(Tabel2[[#This Row],[V 6]]*10+Tabel2[[#This Row],[GT 6]])/Tabel2[[#This Row],[AW 6]]*10+Tabel2[[#This Row],[BONUS 6]]</f>
        <v>0</v>
      </c>
      <c r="AY99">
        <v>1</v>
      </c>
      <c r="BC99" s="153">
        <f>SUM(Tabel2[[#This Row],[V 7]]*10+Tabel2[[#This Row],[GT 7]])/Tabel2[[#This Row],[AW 7]]*10+Tabel2[[#This Row],[BONUS 7]]</f>
        <v>0</v>
      </c>
      <c r="BE99">
        <v>1</v>
      </c>
      <c r="BI99" s="153">
        <f>SUM(Tabel2[[#This Row],[V 8]]*10+Tabel2[[#This Row],[GT 8]])/Tabel2[[#This Row],[AW 8]]*10+Tabel2[[#This Row],[BONUS 8]]</f>
        <v>0</v>
      </c>
      <c r="BK99">
        <v>1</v>
      </c>
      <c r="BO99" s="153">
        <f>SUM(Tabel2[[#This Row],[V 9]]*10+Tabel2[[#This Row],[GT 9]])/Tabel2[[#This Row],[AW 9]]*10+Tabel2[[#This Row],[BONUS 9]]</f>
        <v>0</v>
      </c>
      <c r="BQ99">
        <v>1</v>
      </c>
      <c r="BU99" s="23">
        <f>SUM(Tabel2[[#This Row],[V 10]]*10+Tabel2[[#This Row],[GT 10]])/Tabel2[[#This Row],[AW 10]]*10+Tabel2[[#This Row],[BONUS 10]]</f>
        <v>0</v>
      </c>
      <c r="BV9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9" s="22">
        <v>0</v>
      </c>
      <c r="BX99" s="22">
        <f>Tabel2[[#This Row],[Diploma]]-Tabel2[[#This Row],[Uitgeschreven]]</f>
        <v>0</v>
      </c>
      <c r="BY99" s="155" t="str">
        <f>IF(BX99=0,"geen actie",CONCATENATE("diploma uitschrijven: ",BV99," punten"))</f>
        <v>geen actie</v>
      </c>
      <c r="CA99" s="150">
        <f>Tabel2[[#This Row],[pnt t/m 2021/22]]</f>
        <v>71.111111111111114</v>
      </c>
      <c r="CB99" s="150">
        <f>Tabel2[[#This Row],[pnt 2022/2023]]</f>
        <v>0</v>
      </c>
      <c r="CC99" s="150">
        <f t="shared" si="12"/>
        <v>71.111111111111114</v>
      </c>
      <c r="CD99" s="150">
        <f>IF(Tabel2[[#This Row],[LPR 1]]&gt;0,1,0)</f>
        <v>0</v>
      </c>
      <c r="CE99" s="150">
        <f>IF(Tabel2[[#This Row],[LPR 2]]&gt;0,1,0)</f>
        <v>0</v>
      </c>
      <c r="CF99" s="150">
        <f>IF(Tabel2[[#This Row],[LPR 3]]&gt;0,1,0)</f>
        <v>0</v>
      </c>
      <c r="CG99" s="150">
        <f>IF(Tabel2[[#This Row],[LPR 4]]&gt;0,1,0)</f>
        <v>0</v>
      </c>
      <c r="CH99" s="150">
        <f>IF(Tabel2[[#This Row],[LPR 5]]&gt;0,1,0)</f>
        <v>0</v>
      </c>
      <c r="CI99" s="150">
        <f>IF(Tabel2[[#This Row],[LPR 6]]&gt;0,1,0)</f>
        <v>0</v>
      </c>
      <c r="CJ99" s="150">
        <f>IF(Tabel2[[#This Row],[LPR 7]]&gt;0,1,0)</f>
        <v>0</v>
      </c>
      <c r="CK99" s="150">
        <f>IF(Tabel2[[#This Row],[LPR 8]]&gt;0,1,0)</f>
        <v>0</v>
      </c>
      <c r="CL99" s="150">
        <f>IF(Tabel2[[#This Row],[LPR 9]]&gt;0,1,0)</f>
        <v>0</v>
      </c>
      <c r="CM99" s="150">
        <f>IF(Tabel2[[#This Row],[LPR 10]]&gt;0,1,0)</f>
        <v>0</v>
      </c>
      <c r="CN99" s="150">
        <f>SUM(Tabel7[[#This Row],[sep]:[jun]])</f>
        <v>0</v>
      </c>
      <c r="CO99" s="22" t="str">
        <f t="shared" si="7"/>
        <v/>
      </c>
      <c r="CP99" s="22" t="str">
        <f t="shared" si="8"/>
        <v/>
      </c>
      <c r="CQ99" s="22" t="str">
        <f t="shared" si="9"/>
        <v/>
      </c>
      <c r="CR99" s="22" t="str">
        <f t="shared" si="10"/>
        <v/>
      </c>
      <c r="CS99" s="22" t="str">
        <f t="shared" si="11"/>
        <v/>
      </c>
    </row>
    <row r="100" spans="1:97" x14ac:dyDescent="0.3">
      <c r="A100" s="22" t="s">
        <v>135</v>
      </c>
      <c r="B100" s="22" t="s">
        <v>778</v>
      </c>
      <c r="D100" s="22" t="s">
        <v>137</v>
      </c>
      <c r="E100" t="s">
        <v>259</v>
      </c>
      <c r="F100"/>
      <c r="G100" s="25" t="s">
        <v>192</v>
      </c>
      <c r="H100" s="23">
        <f>Tabel2[[#This Row],[pnt t/m 2021/22]]+Tabel2[[#This Row],[pnt 2022/2023]]</f>
        <v>50</v>
      </c>
      <c r="I100">
        <v>2009</v>
      </c>
      <c r="J100">
        <v>2022</v>
      </c>
      <c r="K100" s="24">
        <f>Tabel2[[#This Row],[ijkdatum]]-Tabel2[[#This Row],[Geboren]]</f>
        <v>13</v>
      </c>
      <c r="L100" s="26">
        <f>Tabel2[[#This Row],[TTL 1]]+Tabel2[[#This Row],[TTL 2]]+Tabel2[[#This Row],[TTL 3]]+Tabel2[[#This Row],[TTL 4]]+Tabel2[[#This Row],[TTL 5]]+Tabel2[[#This Row],[TTL 6]]+Tabel2[[#This Row],[TTL 7]]+Tabel2[[#This Row],[TTL 8]]+Tabel2[[#This Row],[TTL 9]]+Tabel2[[#This Row],[TTL 10]]</f>
        <v>0</v>
      </c>
      <c r="M100" s="153">
        <v>50</v>
      </c>
      <c r="O100">
        <v>1</v>
      </c>
      <c r="S100" s="153">
        <f>SUM(Tabel2[[#This Row],[V 1]]*10+Tabel2[[#This Row],[GT 1]])/Tabel2[[#This Row],[AW 1]]*10+Tabel2[[#This Row],[BONUS 1]]</f>
        <v>0</v>
      </c>
      <c r="U100">
        <v>1</v>
      </c>
      <c r="Y100" s="153">
        <f>SUM(Tabel2[[#This Row],[V 2]]*10+Tabel2[[#This Row],[GT 2]])/Tabel2[[#This Row],[AW 2]]*10+Tabel2[[#This Row],[BONUS 2]]</f>
        <v>0</v>
      </c>
      <c r="AA100">
        <v>1</v>
      </c>
      <c r="AE100" s="153">
        <f>SUM(Tabel2[[#This Row],[V 3]]*10+Tabel2[[#This Row],[GT 3]])/Tabel2[[#This Row],[AW 3]]*10+Tabel2[[#This Row],[BONUS 3]]</f>
        <v>0</v>
      </c>
      <c r="AG100">
        <v>1</v>
      </c>
      <c r="AK100" s="153">
        <f>SUM(Tabel2[[#This Row],[V 4]]*10+Tabel2[[#This Row],[GT 4]])/Tabel2[[#This Row],[AW 4]]*10+Tabel2[[#This Row],[BONUS 4]]</f>
        <v>0</v>
      </c>
      <c r="AM100">
        <v>1</v>
      </c>
      <c r="AQ100" s="153">
        <f>SUM(Tabel2[[#This Row],[V 5]]*10+Tabel2[[#This Row],[GT 5]])/Tabel2[[#This Row],[AW 5]]*10+Tabel2[[#This Row],[BONUS 5]]</f>
        <v>0</v>
      </c>
      <c r="AS100">
        <v>1</v>
      </c>
      <c r="AW100" s="153">
        <f>SUM(Tabel2[[#This Row],[V 6]]*10+Tabel2[[#This Row],[GT 6]])/Tabel2[[#This Row],[AW 6]]*10+Tabel2[[#This Row],[BONUS 6]]</f>
        <v>0</v>
      </c>
      <c r="AY100">
        <v>1</v>
      </c>
      <c r="BC100" s="153">
        <f>SUM(Tabel2[[#This Row],[V 7]]*10+Tabel2[[#This Row],[GT 7]])/Tabel2[[#This Row],[AW 7]]*10+Tabel2[[#This Row],[BONUS 7]]</f>
        <v>0</v>
      </c>
      <c r="BE100">
        <v>1</v>
      </c>
      <c r="BI100" s="153">
        <f>SUM(Tabel2[[#This Row],[V 8]]*10+Tabel2[[#This Row],[GT 8]])/Tabel2[[#This Row],[AW 8]]*10+Tabel2[[#This Row],[BONUS 8]]</f>
        <v>0</v>
      </c>
      <c r="BK100">
        <v>1</v>
      </c>
      <c r="BO100" s="153">
        <f>SUM(Tabel2[[#This Row],[V 9]]*10+Tabel2[[#This Row],[GT 9]])/Tabel2[[#This Row],[AW 9]]*10+Tabel2[[#This Row],[BONUS 9]]</f>
        <v>0</v>
      </c>
      <c r="BQ100">
        <v>1</v>
      </c>
      <c r="BU100" s="23">
        <f>SUM(Tabel2[[#This Row],[V 10]]*10+Tabel2[[#This Row],[GT 10]])/Tabel2[[#This Row],[AW 10]]*10+Tabel2[[#This Row],[BONUS 10]]</f>
        <v>0</v>
      </c>
      <c r="BV10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0" s="22">
        <v>0</v>
      </c>
      <c r="BX100" s="22">
        <f>Tabel2[[#This Row],[Diploma]]-Tabel2[[#This Row],[Uitgeschreven]]</f>
        <v>0</v>
      </c>
      <c r="BY100" s="155" t="str">
        <f>IF(BX100=0,"geen actie",CONCATENATE("diploma uitschrijven: ",BV100," punten"))</f>
        <v>geen actie</v>
      </c>
      <c r="CA100" s="150">
        <f>Tabel2[[#This Row],[pnt t/m 2021/22]]</f>
        <v>50</v>
      </c>
      <c r="CB100" s="150">
        <f>Tabel2[[#This Row],[pnt 2022/2023]]</f>
        <v>0</v>
      </c>
      <c r="CC100" s="150">
        <f t="shared" si="12"/>
        <v>50</v>
      </c>
      <c r="CD100" s="150">
        <f>IF(Tabel2[[#This Row],[LPR 1]]&gt;0,1,0)</f>
        <v>0</v>
      </c>
      <c r="CE100" s="150">
        <f>IF(Tabel2[[#This Row],[LPR 2]]&gt;0,1,0)</f>
        <v>0</v>
      </c>
      <c r="CF100" s="150">
        <f>IF(Tabel2[[#This Row],[LPR 3]]&gt;0,1,0)</f>
        <v>0</v>
      </c>
      <c r="CG100" s="150">
        <f>IF(Tabel2[[#This Row],[LPR 4]]&gt;0,1,0)</f>
        <v>0</v>
      </c>
      <c r="CH100" s="150">
        <f>IF(Tabel2[[#This Row],[LPR 5]]&gt;0,1,0)</f>
        <v>0</v>
      </c>
      <c r="CI100" s="150">
        <f>IF(Tabel2[[#This Row],[LPR 6]]&gt;0,1,0)</f>
        <v>0</v>
      </c>
      <c r="CJ100" s="150">
        <f>IF(Tabel2[[#This Row],[LPR 7]]&gt;0,1,0)</f>
        <v>0</v>
      </c>
      <c r="CK100" s="150">
        <f>IF(Tabel2[[#This Row],[LPR 8]]&gt;0,1,0)</f>
        <v>0</v>
      </c>
      <c r="CL100" s="150">
        <f>IF(Tabel2[[#This Row],[LPR 9]]&gt;0,1,0)</f>
        <v>0</v>
      </c>
      <c r="CM100" s="150">
        <f>IF(Tabel2[[#This Row],[LPR 10]]&gt;0,1,0)</f>
        <v>0</v>
      </c>
      <c r="CN100" s="150">
        <f>SUM(Tabel7[[#This Row],[sep]:[jun]])</f>
        <v>0</v>
      </c>
      <c r="CO100" s="22" t="str">
        <f t="shared" si="7"/>
        <v/>
      </c>
      <c r="CP100" s="22" t="str">
        <f t="shared" si="8"/>
        <v/>
      </c>
      <c r="CQ100" s="22" t="str">
        <f t="shared" si="9"/>
        <v/>
      </c>
      <c r="CR100" s="22" t="str">
        <f t="shared" si="10"/>
        <v/>
      </c>
      <c r="CS100" s="22" t="str">
        <f t="shared" si="11"/>
        <v/>
      </c>
    </row>
    <row r="101" spans="1:97" x14ac:dyDescent="0.3">
      <c r="A101" s="22" t="s">
        <v>145</v>
      </c>
      <c r="B101" s="22" t="s">
        <v>778</v>
      </c>
      <c r="D101" s="22" t="s">
        <v>137</v>
      </c>
      <c r="E101" t="s">
        <v>260</v>
      </c>
      <c r="F101" s="22" t="s">
        <v>261</v>
      </c>
      <c r="G101" s="25" t="s">
        <v>147</v>
      </c>
      <c r="H101" s="142">
        <f>Tabel2[[#This Row],[pnt t/m 2021/22]]+Tabel2[[#This Row],[pnt 2022/2023]]</f>
        <v>588.32142857142856</v>
      </c>
      <c r="I101">
        <v>2011</v>
      </c>
      <c r="J101">
        <v>2022</v>
      </c>
      <c r="K101" s="24">
        <f>Tabel2[[#This Row],[ijkdatum]]-Tabel2[[#This Row],[Geboren]]</f>
        <v>11</v>
      </c>
      <c r="L101" s="26">
        <f>Tabel2[[#This Row],[TTL 1]]+Tabel2[[#This Row],[TTL 2]]+Tabel2[[#This Row],[TTL 3]]+Tabel2[[#This Row],[TTL 4]]+Tabel2[[#This Row],[TTL 5]]+Tabel2[[#This Row],[TTL 6]]+Tabel2[[#This Row],[TTL 7]]+Tabel2[[#This Row],[TTL 8]]+Tabel2[[#This Row],[TTL 9]]+Tabel2[[#This Row],[TTL 10]]</f>
        <v>0</v>
      </c>
      <c r="M101" s="141">
        <v>588.32142857142856</v>
      </c>
      <c r="O101">
        <v>1</v>
      </c>
      <c r="S101" s="23">
        <f>SUM(Tabel2[[#This Row],[V 1]]*10+Tabel2[[#This Row],[GT 1]])/Tabel2[[#This Row],[AW 1]]*10+Tabel2[[#This Row],[BONUS 1]]</f>
        <v>0</v>
      </c>
      <c r="U101">
        <v>1</v>
      </c>
      <c r="Y101" s="23">
        <f>SUM(Tabel2[[#This Row],[V 2]]*10+Tabel2[[#This Row],[GT 2]])/Tabel2[[#This Row],[AW 2]]*10+Tabel2[[#This Row],[BONUS 2]]</f>
        <v>0</v>
      </c>
      <c r="AA101">
        <v>1</v>
      </c>
      <c r="AE101" s="23">
        <f>SUM(Tabel2[[#This Row],[V 3]]*10+Tabel2[[#This Row],[GT 3]])/Tabel2[[#This Row],[AW 3]]*10+Tabel2[[#This Row],[BONUS 3]]</f>
        <v>0</v>
      </c>
      <c r="AG101">
        <v>1</v>
      </c>
      <c r="AK101" s="23">
        <f>SUM(Tabel2[[#This Row],[V 4]]*10+Tabel2[[#This Row],[GT 4]])/Tabel2[[#This Row],[AW 4]]*10+Tabel2[[#This Row],[BONUS 4]]</f>
        <v>0</v>
      </c>
      <c r="AM101">
        <v>1</v>
      </c>
      <c r="AQ101" s="23">
        <f>SUM(Tabel2[[#This Row],[V 5]]*10+Tabel2[[#This Row],[GT 5]])/Tabel2[[#This Row],[AW 5]]*10+Tabel2[[#This Row],[BONUS 5]]</f>
        <v>0</v>
      </c>
      <c r="AS101">
        <v>1</v>
      </c>
      <c r="AW101" s="23">
        <f>SUM(Tabel2[[#This Row],[V 6]]*10+Tabel2[[#This Row],[GT 6]])/Tabel2[[#This Row],[AW 6]]*10+Tabel2[[#This Row],[BONUS 6]]</f>
        <v>0</v>
      </c>
      <c r="AY101">
        <v>1</v>
      </c>
      <c r="BC101" s="23">
        <f>SUM(Tabel2[[#This Row],[V 7]]*10+Tabel2[[#This Row],[GT 7]])/Tabel2[[#This Row],[AW 7]]*10+Tabel2[[#This Row],[BONUS 7]]</f>
        <v>0</v>
      </c>
      <c r="BE101">
        <v>1</v>
      </c>
      <c r="BI101" s="23">
        <f>SUM(Tabel2[[#This Row],[V 8]]*10+Tabel2[[#This Row],[GT 8]])/Tabel2[[#This Row],[AW 8]]*10+Tabel2[[#This Row],[BONUS 8]]</f>
        <v>0</v>
      </c>
      <c r="BK101">
        <v>1</v>
      </c>
      <c r="BO101" s="23">
        <f>SUM(Tabel2[[#This Row],[V 9]]*10+Tabel2[[#This Row],[GT 9]])/Tabel2[[#This Row],[AW 9]]*10+Tabel2[[#This Row],[BONUS 9]]</f>
        <v>0</v>
      </c>
      <c r="BQ101">
        <v>1</v>
      </c>
      <c r="BU101" s="23">
        <f>SUM(Tabel2[[#This Row],[V 10]]*10+Tabel2[[#This Row],[GT 10]])/Tabel2[[#This Row],[AW 10]]*10+Tabel2[[#This Row],[BONUS 10]]</f>
        <v>0</v>
      </c>
      <c r="BV10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1" s="22">
        <v>500</v>
      </c>
      <c r="BX101" s="30">
        <f>Tabel2[[#This Row],[Diploma]]-Tabel2[[#This Row],[Uitgeschreven]]</f>
        <v>0</v>
      </c>
      <c r="BY101" s="2" t="str">
        <f>IF(BX101=0,"geen actie",CONCATENATE("diploma uitschrijven: ",BV101," punten"))</f>
        <v>geen actie</v>
      </c>
      <c r="CA101" s="150">
        <f>Tabel2[[#This Row],[pnt t/m 2021/22]]</f>
        <v>588.32142857142856</v>
      </c>
      <c r="CB101" s="150">
        <f>Tabel2[[#This Row],[pnt 2022/2023]]</f>
        <v>0</v>
      </c>
      <c r="CC101" s="150">
        <f t="shared" si="12"/>
        <v>588.32142857142856</v>
      </c>
      <c r="CD101" s="150">
        <f>IF(Tabel2[[#This Row],[LPR 1]]&gt;0,1,0)</f>
        <v>0</v>
      </c>
      <c r="CE101" s="150">
        <f>IF(Tabel2[[#This Row],[LPR 2]]&gt;0,1,0)</f>
        <v>0</v>
      </c>
      <c r="CF101" s="150">
        <f>IF(Tabel2[[#This Row],[LPR 3]]&gt;0,1,0)</f>
        <v>0</v>
      </c>
      <c r="CG101" s="150">
        <f>IF(Tabel2[[#This Row],[LPR 4]]&gt;0,1,0)</f>
        <v>0</v>
      </c>
      <c r="CH101" s="150">
        <f>IF(Tabel2[[#This Row],[LPR 5]]&gt;0,1,0)</f>
        <v>0</v>
      </c>
      <c r="CI101" s="150">
        <f>IF(Tabel2[[#This Row],[LPR 6]]&gt;0,1,0)</f>
        <v>0</v>
      </c>
      <c r="CJ101" s="150">
        <f>IF(Tabel2[[#This Row],[LPR 7]]&gt;0,1,0)</f>
        <v>0</v>
      </c>
      <c r="CK101" s="150">
        <f>IF(Tabel2[[#This Row],[LPR 8]]&gt;0,1,0)</f>
        <v>0</v>
      </c>
      <c r="CL101" s="150">
        <f>IF(Tabel2[[#This Row],[LPR 9]]&gt;0,1,0)</f>
        <v>0</v>
      </c>
      <c r="CM101" s="150">
        <f>IF(Tabel2[[#This Row],[LPR 10]]&gt;0,1,0)</f>
        <v>0</v>
      </c>
      <c r="CN101" s="150">
        <f>SUM(Tabel7[[#This Row],[sep]:[jun]])</f>
        <v>0</v>
      </c>
      <c r="CO101" s="22" t="str">
        <f t="shared" si="7"/>
        <v/>
      </c>
      <c r="CP101" s="22" t="str">
        <f t="shared" si="8"/>
        <v/>
      </c>
      <c r="CQ101" s="22" t="str">
        <f t="shared" si="9"/>
        <v/>
      </c>
      <c r="CR101" s="22" t="str">
        <f t="shared" si="10"/>
        <v/>
      </c>
      <c r="CS101" s="22" t="str">
        <f t="shared" si="11"/>
        <v/>
      </c>
    </row>
    <row r="102" spans="1:97" x14ac:dyDescent="0.3">
      <c r="A102" s="22" t="s">
        <v>145</v>
      </c>
      <c r="B102" s="22" t="s">
        <v>778</v>
      </c>
      <c r="D102" s="22" t="s">
        <v>137</v>
      </c>
      <c r="E102" t="s">
        <v>262</v>
      </c>
      <c r="F102" s="22">
        <v>118680</v>
      </c>
      <c r="G102" s="25" t="s">
        <v>147</v>
      </c>
      <c r="H102" s="142">
        <f>Tabel2[[#This Row],[pnt t/m 2021/22]]+Tabel2[[#This Row],[pnt 2022/2023]]</f>
        <v>1721.3529411764707</v>
      </c>
      <c r="I102">
        <v>2007</v>
      </c>
      <c r="J102">
        <v>2022</v>
      </c>
      <c r="K102" s="24">
        <f>Tabel2[[#This Row],[ijkdatum]]-Tabel2[[#This Row],[Geboren]]</f>
        <v>15</v>
      </c>
      <c r="L102" s="26">
        <f>Tabel2[[#This Row],[TTL 1]]+Tabel2[[#This Row],[TTL 2]]+Tabel2[[#This Row],[TTL 3]]+Tabel2[[#This Row],[TTL 4]]+Tabel2[[#This Row],[TTL 5]]+Tabel2[[#This Row],[TTL 6]]+Tabel2[[#This Row],[TTL 7]]+Tabel2[[#This Row],[TTL 8]]+Tabel2[[#This Row],[TTL 9]]+Tabel2[[#This Row],[TTL 10]]</f>
        <v>0</v>
      </c>
      <c r="M102" s="141">
        <v>1721.3529411764707</v>
      </c>
      <c r="O102">
        <v>1</v>
      </c>
      <c r="S102" s="23">
        <f>SUM(Tabel2[[#This Row],[V 1]]*10+Tabel2[[#This Row],[GT 1]])/Tabel2[[#This Row],[AW 1]]*10+Tabel2[[#This Row],[BONUS 1]]</f>
        <v>0</v>
      </c>
      <c r="U102">
        <v>1</v>
      </c>
      <c r="Y102" s="23">
        <f>SUM(Tabel2[[#This Row],[V 2]]*10+Tabel2[[#This Row],[GT 2]])/Tabel2[[#This Row],[AW 2]]*10+Tabel2[[#This Row],[BONUS 2]]</f>
        <v>0</v>
      </c>
      <c r="AA102">
        <v>1</v>
      </c>
      <c r="AE102" s="23">
        <f>SUM(Tabel2[[#This Row],[V 3]]*10+Tabel2[[#This Row],[GT 3]])/Tabel2[[#This Row],[AW 3]]*10+Tabel2[[#This Row],[BONUS 3]]</f>
        <v>0</v>
      </c>
      <c r="AG102">
        <v>1</v>
      </c>
      <c r="AK102" s="23">
        <f>SUM(Tabel2[[#This Row],[V 4]]*10+Tabel2[[#This Row],[GT 4]])/Tabel2[[#This Row],[AW 4]]*10+Tabel2[[#This Row],[BONUS 4]]</f>
        <v>0</v>
      </c>
      <c r="AM102">
        <v>1</v>
      </c>
      <c r="AQ102" s="23">
        <f>SUM(Tabel2[[#This Row],[V 5]]*10+Tabel2[[#This Row],[GT 5]])/Tabel2[[#This Row],[AW 5]]*10+Tabel2[[#This Row],[BONUS 5]]</f>
        <v>0</v>
      </c>
      <c r="AS102">
        <v>1</v>
      </c>
      <c r="AW102" s="23">
        <f>SUM(Tabel2[[#This Row],[V 6]]*10+Tabel2[[#This Row],[GT 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02" s="22">
        <v>1500</v>
      </c>
      <c r="BX102" s="30">
        <f>Tabel2[[#This Row],[Diploma]]-Tabel2[[#This Row],[Uitgeschreven]]</f>
        <v>0</v>
      </c>
      <c r="BY102" s="2" t="str">
        <f>IF(BX102=0,"geen actie",CONCATENATE("diploma uitschrijven: ",BV102," punten"))</f>
        <v>geen actie</v>
      </c>
      <c r="CA102" s="150">
        <f>Tabel2[[#This Row],[pnt t/m 2021/22]]</f>
        <v>1721.3529411764707</v>
      </c>
      <c r="CB102" s="150">
        <f>Tabel2[[#This Row],[pnt 2022/2023]]</f>
        <v>0</v>
      </c>
      <c r="CC102" s="150">
        <f t="shared" si="12"/>
        <v>1721.3529411764707</v>
      </c>
      <c r="CD102" s="150">
        <f>IF(Tabel2[[#This Row],[LPR 1]]&gt;0,1,0)</f>
        <v>0</v>
      </c>
      <c r="CE102" s="150">
        <f>IF(Tabel2[[#This Row],[LPR 2]]&gt;0,1,0)</f>
        <v>0</v>
      </c>
      <c r="CF102" s="150">
        <f>IF(Tabel2[[#This Row],[LPR 3]]&gt;0,1,0)</f>
        <v>0</v>
      </c>
      <c r="CG102" s="150">
        <f>IF(Tabel2[[#This Row],[LPR 4]]&gt;0,1,0)</f>
        <v>0</v>
      </c>
      <c r="CH102" s="150">
        <f>IF(Tabel2[[#This Row],[LPR 5]]&gt;0,1,0)</f>
        <v>0</v>
      </c>
      <c r="CI102" s="150">
        <f>IF(Tabel2[[#This Row],[LPR 6]]&gt;0,1,0)</f>
        <v>0</v>
      </c>
      <c r="CJ102" s="150">
        <f>IF(Tabel2[[#This Row],[LPR 7]]&gt;0,1,0)</f>
        <v>0</v>
      </c>
      <c r="CK102" s="150">
        <f>IF(Tabel2[[#This Row],[LPR 8]]&gt;0,1,0)</f>
        <v>0</v>
      </c>
      <c r="CL102" s="150">
        <f>IF(Tabel2[[#This Row],[LPR 9]]&gt;0,1,0)</f>
        <v>0</v>
      </c>
      <c r="CM102" s="150">
        <f>IF(Tabel2[[#This Row],[LPR 10]]&gt;0,1,0)</f>
        <v>0</v>
      </c>
      <c r="CN102" s="150">
        <f>SUM(Tabel7[[#This Row],[sep]:[jun]])</f>
        <v>0</v>
      </c>
      <c r="CO102" s="22" t="str">
        <f t="shared" si="7"/>
        <v/>
      </c>
      <c r="CP102" s="22" t="str">
        <f t="shared" si="8"/>
        <v/>
      </c>
      <c r="CQ102" s="22" t="str">
        <f t="shared" si="9"/>
        <v/>
      </c>
      <c r="CR102" s="22" t="str">
        <f t="shared" si="10"/>
        <v/>
      </c>
      <c r="CS102" s="22" t="str">
        <f t="shared" si="11"/>
        <v/>
      </c>
    </row>
    <row r="103" spans="1:97" x14ac:dyDescent="0.3">
      <c r="A103" s="22" t="s">
        <v>135</v>
      </c>
      <c r="B103" s="22" t="s">
        <v>778</v>
      </c>
      <c r="D103" s="22" t="s">
        <v>783</v>
      </c>
      <c r="E103" t="s">
        <v>263</v>
      </c>
      <c r="F103" s="22">
        <v>120270</v>
      </c>
      <c r="G103" s="25" t="s">
        <v>147</v>
      </c>
      <c r="H103" s="23">
        <f>Tabel2[[#This Row],[pnt t/m 2021/22]]+Tabel2[[#This Row],[pnt 2022/2023]]</f>
        <v>931.05555555555554</v>
      </c>
      <c r="I103">
        <v>2007</v>
      </c>
      <c r="J103">
        <v>2022</v>
      </c>
      <c r="K103" s="24">
        <f>Tabel2[[#This Row],[ijkdatum]]-Tabel2[[#This Row],[Geboren]]</f>
        <v>15</v>
      </c>
      <c r="L103" s="26">
        <f>Tabel2[[#This Row],[TTL 1]]+Tabel2[[#This Row],[TTL 2]]+Tabel2[[#This Row],[TTL 3]]+Tabel2[[#This Row],[TTL 4]]+Tabel2[[#This Row],[TTL 5]]+Tabel2[[#This Row],[TTL 6]]+Tabel2[[#This Row],[TTL 7]]+Tabel2[[#This Row],[TTL 8]]+Tabel2[[#This Row],[TTL 9]]+Tabel2[[#This Row],[TTL 10]]</f>
        <v>49</v>
      </c>
      <c r="M103" s="153">
        <v>882.05555555555554</v>
      </c>
      <c r="N103">
        <v>1</v>
      </c>
      <c r="O103">
        <v>10</v>
      </c>
      <c r="P103">
        <v>2</v>
      </c>
      <c r="Q103">
        <v>29</v>
      </c>
      <c r="S103" s="23">
        <f>SUM(Tabel2[[#This Row],[V 1]]*10+Tabel2[[#This Row],[GT 1]])/Tabel2[[#This Row],[AW 1]]*10+Tabel2[[#This Row],[BONUS 1]]</f>
        <v>49</v>
      </c>
      <c r="U103">
        <v>1</v>
      </c>
      <c r="Y103" s="23">
        <f>SUM(Tabel2[[#This Row],[V 2]]*10+Tabel2[[#This Row],[GT 2]])/Tabel2[[#This Row],[AW 2]]*10+Tabel2[[#This Row],[BONUS 2]]</f>
        <v>0</v>
      </c>
      <c r="AA103">
        <v>1</v>
      </c>
      <c r="AE103" s="23">
        <f>SUM(Tabel2[[#This Row],[V 3]]*10+Tabel2[[#This Row],[GT 3]])/Tabel2[[#This Row],[AW 3]]*10+Tabel2[[#This Row],[BONUS 3]]</f>
        <v>0</v>
      </c>
      <c r="AG103">
        <v>1</v>
      </c>
      <c r="AK103" s="23">
        <f>SUM(Tabel2[[#This Row],[V 4]]*10+Tabel2[[#This Row],[GT 4]])/Tabel2[[#This Row],[AW 4]]*10+Tabel2[[#This Row],[BONUS 4]]</f>
        <v>0</v>
      </c>
      <c r="AM103">
        <v>1</v>
      </c>
      <c r="AQ103" s="23">
        <f>SUM(Tabel2[[#This Row],[V 5]]*10+Tabel2[[#This Row],[GT 5]])/Tabel2[[#This Row],[AW 5]]*10+Tabel2[[#This Row],[BONUS 5]]</f>
        <v>0</v>
      </c>
      <c r="AS103">
        <v>1</v>
      </c>
      <c r="AW103" s="23">
        <f>SUM(Tabel2[[#This Row],[V 6]]*10+Tabel2[[#This Row],[GT 6]])/Tabel2[[#This Row],[AW 6]]*10+Tabel2[[#This Row],[BONUS 6]]</f>
        <v>0</v>
      </c>
      <c r="AY103">
        <v>1</v>
      </c>
      <c r="BC103" s="23">
        <f>SUM(Tabel2[[#This Row],[V 7]]*10+Tabel2[[#This Row],[GT 7]])/Tabel2[[#This Row],[AW 7]]*10+Tabel2[[#This Row],[BONUS 7]]</f>
        <v>0</v>
      </c>
      <c r="BE103">
        <v>1</v>
      </c>
      <c r="BI103" s="23">
        <f>SUM(Tabel2[[#This Row],[V 8]]*10+Tabel2[[#This Row],[GT 8]])/Tabel2[[#This Row],[AW 8]]*10+Tabel2[[#This Row],[BONUS 8]]</f>
        <v>0</v>
      </c>
      <c r="BK103">
        <v>1</v>
      </c>
      <c r="BO103" s="23">
        <f>SUM(Tabel2[[#This Row],[V 9]]*10+Tabel2[[#This Row],[GT 9]])/Tabel2[[#This Row],[AW 9]]*10+Tabel2[[#This Row],[BONUS 9]]</f>
        <v>0</v>
      </c>
      <c r="BQ103">
        <v>1</v>
      </c>
      <c r="BU103" s="23">
        <f>SUM(Tabel2[[#This Row],[V 10]]*10+Tabel2[[#This Row],[GT 10]])/Tabel2[[#This Row],[AW 10]]*10+Tabel2[[#This Row],[BONUS 10]]</f>
        <v>0</v>
      </c>
      <c r="BV1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3" s="22">
        <v>750</v>
      </c>
      <c r="BX103" s="22">
        <f>Tabel2[[#This Row],[Diploma]]-Tabel2[[#This Row],[Uitgeschreven]]</f>
        <v>0</v>
      </c>
      <c r="BY103" s="155" t="str">
        <f>IF(BX103=0,"geen actie",CONCATENATE("diploma uitschrijven: ",BV103," punten"))</f>
        <v>geen actie</v>
      </c>
      <c r="CA103" s="150">
        <f>Tabel2[[#This Row],[pnt t/m 2021/22]]</f>
        <v>882.05555555555554</v>
      </c>
      <c r="CB103" s="150">
        <f>Tabel2[[#This Row],[pnt 2022/2023]]</f>
        <v>49</v>
      </c>
      <c r="CC103" s="150">
        <f t="shared" si="12"/>
        <v>931.05555555555554</v>
      </c>
      <c r="CD103" s="150">
        <f>IF(Tabel2[[#This Row],[LPR 1]]&gt;0,1,0)</f>
        <v>1</v>
      </c>
      <c r="CE103" s="150">
        <f>IF(Tabel2[[#This Row],[LPR 2]]&gt;0,1,0)</f>
        <v>0</v>
      </c>
      <c r="CF103" s="150">
        <f>IF(Tabel2[[#This Row],[LPR 3]]&gt;0,1,0)</f>
        <v>0</v>
      </c>
      <c r="CG103" s="150">
        <f>IF(Tabel2[[#This Row],[LPR 4]]&gt;0,1,0)</f>
        <v>0</v>
      </c>
      <c r="CH103" s="150">
        <f>IF(Tabel2[[#This Row],[LPR 5]]&gt;0,1,0)</f>
        <v>0</v>
      </c>
      <c r="CI103" s="150">
        <f>IF(Tabel2[[#This Row],[LPR 6]]&gt;0,1,0)</f>
        <v>0</v>
      </c>
      <c r="CJ103" s="150">
        <f>IF(Tabel2[[#This Row],[LPR 7]]&gt;0,1,0)</f>
        <v>0</v>
      </c>
      <c r="CK103" s="150">
        <f>IF(Tabel2[[#This Row],[LPR 8]]&gt;0,1,0)</f>
        <v>0</v>
      </c>
      <c r="CL103" s="150">
        <f>IF(Tabel2[[#This Row],[LPR 9]]&gt;0,1,0)</f>
        <v>0</v>
      </c>
      <c r="CM103" s="150">
        <f>IF(Tabel2[[#This Row],[LPR 10]]&gt;0,1,0)</f>
        <v>0</v>
      </c>
      <c r="CN103" s="150">
        <f>SUM(Tabel7[[#This Row],[sep]:[jun]])</f>
        <v>1</v>
      </c>
      <c r="CO103" s="22" t="str">
        <f t="shared" si="7"/>
        <v/>
      </c>
      <c r="CP103" s="22" t="str">
        <f t="shared" si="8"/>
        <v/>
      </c>
      <c r="CQ103" s="22" t="str">
        <f t="shared" si="9"/>
        <v/>
      </c>
      <c r="CR103" s="22" t="str">
        <f t="shared" si="10"/>
        <v/>
      </c>
      <c r="CS103" s="22" t="str">
        <f t="shared" si="11"/>
        <v/>
      </c>
    </row>
    <row r="104" spans="1:97" x14ac:dyDescent="0.3">
      <c r="A104" s="22" t="s">
        <v>140</v>
      </c>
      <c r="B104" s="22" t="s">
        <v>779</v>
      </c>
      <c r="D104" s="22" t="s">
        <v>137</v>
      </c>
      <c r="E104" t="s">
        <v>264</v>
      </c>
      <c r="F104" s="22">
        <v>120086</v>
      </c>
      <c r="G104" s="25" t="s">
        <v>190</v>
      </c>
      <c r="H104" s="23">
        <f>Tabel2[[#This Row],[pnt t/m 2021/22]]+Tabel2[[#This Row],[pnt 2022/2023]]</f>
        <v>65</v>
      </c>
      <c r="I104">
        <v>2011</v>
      </c>
      <c r="J104">
        <v>2022</v>
      </c>
      <c r="K104" s="24">
        <f>Tabel2[[#This Row],[ijkdatum]]-Tabel2[[#This Row],[Geboren]]</f>
        <v>11</v>
      </c>
      <c r="L104" s="26">
        <f>Tabel2[[#This Row],[TTL 1]]+Tabel2[[#This Row],[TTL 2]]+Tabel2[[#This Row],[TTL 3]]+Tabel2[[#This Row],[TTL 4]]+Tabel2[[#This Row],[TTL 5]]+Tabel2[[#This Row],[TTL 6]]+Tabel2[[#This Row],[TTL 7]]+Tabel2[[#This Row],[TTL 8]]+Tabel2[[#This Row],[TTL 9]]+Tabel2[[#This Row],[TTL 10]]</f>
        <v>0</v>
      </c>
      <c r="M104" s="153">
        <v>65</v>
      </c>
      <c r="O104">
        <v>1</v>
      </c>
      <c r="S104" s="153">
        <f>SUM(Tabel2[[#This Row],[V 1]]*10+Tabel2[[#This Row],[GT 1]])/Tabel2[[#This Row],[AW 1]]*10+Tabel2[[#This Row],[BONUS 1]]</f>
        <v>0</v>
      </c>
      <c r="U104">
        <v>1</v>
      </c>
      <c r="Y104" s="153">
        <f>SUM(Tabel2[[#This Row],[V 2]]*10+Tabel2[[#This Row],[GT 2]])/Tabel2[[#This Row],[AW 2]]*10+Tabel2[[#This Row],[BONUS 2]]</f>
        <v>0</v>
      </c>
      <c r="AA104">
        <v>1</v>
      </c>
      <c r="AE104" s="153">
        <f>SUM(Tabel2[[#This Row],[V 3]]*10+Tabel2[[#This Row],[GT 3]])/Tabel2[[#This Row],[AW 3]]*10+Tabel2[[#This Row],[BONUS 3]]</f>
        <v>0</v>
      </c>
      <c r="AG104">
        <v>1</v>
      </c>
      <c r="AK104" s="153">
        <f>SUM(Tabel2[[#This Row],[V 4]]*10+Tabel2[[#This Row],[GT 4]])/Tabel2[[#This Row],[AW 4]]*10+Tabel2[[#This Row],[BONUS 4]]</f>
        <v>0</v>
      </c>
      <c r="AM104">
        <v>1</v>
      </c>
      <c r="AQ104" s="153">
        <f>SUM(Tabel2[[#This Row],[V 5]]*10+Tabel2[[#This Row],[GT 5]])/Tabel2[[#This Row],[AW 5]]*10+Tabel2[[#This Row],[BONUS 5]]</f>
        <v>0</v>
      </c>
      <c r="AS104">
        <v>1</v>
      </c>
      <c r="AW104" s="153">
        <f>SUM(Tabel2[[#This Row],[V 6]]*10+Tabel2[[#This Row],[GT 6]])/Tabel2[[#This Row],[AW 6]]*10+Tabel2[[#This Row],[BONUS 6]]</f>
        <v>0</v>
      </c>
      <c r="AY104">
        <v>1</v>
      </c>
      <c r="BC104" s="153">
        <f>SUM(Tabel2[[#This Row],[V 7]]*10+Tabel2[[#This Row],[GT 7]])/Tabel2[[#This Row],[AW 7]]*10+Tabel2[[#This Row],[BONUS 7]]</f>
        <v>0</v>
      </c>
      <c r="BE104">
        <v>1</v>
      </c>
      <c r="BI104" s="153">
        <f>SUM(Tabel2[[#This Row],[V 8]]*10+Tabel2[[#This Row],[GT 8]])/Tabel2[[#This Row],[AW 8]]*10+Tabel2[[#This Row],[BONUS 8]]</f>
        <v>0</v>
      </c>
      <c r="BK104">
        <v>1</v>
      </c>
      <c r="BO104" s="153">
        <f>SUM(Tabel2[[#This Row],[V 9]]*10+Tabel2[[#This Row],[GT 9]])/Tabel2[[#This Row],[AW 9]]*10+Tabel2[[#This Row],[BONUS 9]]</f>
        <v>0</v>
      </c>
      <c r="BQ104">
        <v>1</v>
      </c>
      <c r="BU104" s="23">
        <f>SUM(Tabel2[[#This Row],[V 10]]*10+Tabel2[[#This Row],[GT 10]])/Tabel2[[#This Row],[AW 10]]*10+Tabel2[[#This Row],[BONUS 10]]</f>
        <v>0</v>
      </c>
      <c r="BV1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4" s="22">
        <v>0</v>
      </c>
      <c r="BX104" s="22">
        <f>Tabel2[[#This Row],[Diploma]]-Tabel2[[#This Row],[Uitgeschreven]]</f>
        <v>0</v>
      </c>
      <c r="BY104" s="155" t="str">
        <f>IF(BX104=0,"geen actie",CONCATENATE("diploma uitschrijven: ",BV104," punten"))</f>
        <v>geen actie</v>
      </c>
      <c r="CA104" s="150">
        <f>Tabel2[[#This Row],[pnt t/m 2021/22]]</f>
        <v>65</v>
      </c>
      <c r="CB104" s="150">
        <f>Tabel2[[#This Row],[pnt 2022/2023]]</f>
        <v>0</v>
      </c>
      <c r="CC104" s="150">
        <f t="shared" si="12"/>
        <v>65</v>
      </c>
      <c r="CD104" s="150">
        <f>IF(Tabel2[[#This Row],[LPR 1]]&gt;0,1,0)</f>
        <v>0</v>
      </c>
      <c r="CE104" s="150">
        <f>IF(Tabel2[[#This Row],[LPR 2]]&gt;0,1,0)</f>
        <v>0</v>
      </c>
      <c r="CF104" s="150">
        <f>IF(Tabel2[[#This Row],[LPR 3]]&gt;0,1,0)</f>
        <v>0</v>
      </c>
      <c r="CG104" s="150">
        <f>IF(Tabel2[[#This Row],[LPR 4]]&gt;0,1,0)</f>
        <v>0</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0</v>
      </c>
      <c r="CO104" s="22" t="str">
        <f t="shared" si="7"/>
        <v/>
      </c>
      <c r="CP104" s="22" t="str">
        <f t="shared" si="8"/>
        <v/>
      </c>
      <c r="CQ104" s="22" t="str">
        <f t="shared" si="9"/>
        <v/>
      </c>
      <c r="CR104" s="22" t="str">
        <f t="shared" si="10"/>
        <v/>
      </c>
      <c r="CS104" s="22" t="str">
        <f t="shared" si="11"/>
        <v/>
      </c>
    </row>
    <row r="105" spans="1:97" x14ac:dyDescent="0.3">
      <c r="A105" s="22" t="s">
        <v>143</v>
      </c>
      <c r="B105" s="22" t="s">
        <v>779</v>
      </c>
      <c r="D105" s="22" t="s">
        <v>137</v>
      </c>
      <c r="E105" t="s">
        <v>313</v>
      </c>
      <c r="F105" s="22">
        <v>119708</v>
      </c>
      <c r="G105" s="25" t="s">
        <v>151</v>
      </c>
      <c r="H105" s="142">
        <f>Tabel2[[#This Row],[pnt t/m 2021/22]]+Tabel2[[#This Row],[pnt 2022/2023]]</f>
        <v>619.3394660894661</v>
      </c>
      <c r="I105">
        <v>2010</v>
      </c>
      <c r="J105">
        <v>2023</v>
      </c>
      <c r="K105" s="24">
        <f>Tabel2[[#This Row],[ijkdatum]]-Tabel2[[#This Row],[Geboren]]</f>
        <v>13</v>
      </c>
      <c r="L105" s="26">
        <f>Tabel2[[#This Row],[TTL 1]]+Tabel2[[#This Row],[TTL 2]]+Tabel2[[#This Row],[TTL 3]]+Tabel2[[#This Row],[TTL 4]]+Tabel2[[#This Row],[TTL 5]]+Tabel2[[#This Row],[TTL 6]]+Tabel2[[#This Row],[TTL 7]]+Tabel2[[#This Row],[TTL 8]]+Tabel2[[#This Row],[TTL 9]]+Tabel2[[#This Row],[TTL 10]]</f>
        <v>97.5</v>
      </c>
      <c r="M105" s="141">
        <v>521.8394660894661</v>
      </c>
      <c r="O105">
        <v>1</v>
      </c>
      <c r="S105" s="23">
        <f>SUM(Tabel2[[#This Row],[V 1]]*10+Tabel2[[#This Row],[GT 1]])/Tabel2[[#This Row],[AW 1]]*10+Tabel2[[#This Row],[BONUS 1]]</f>
        <v>0</v>
      </c>
      <c r="T105">
        <v>5</v>
      </c>
      <c r="U105">
        <v>8</v>
      </c>
      <c r="V105">
        <v>5</v>
      </c>
      <c r="W105">
        <v>28</v>
      </c>
      <c r="Y105" s="23">
        <f>SUM(Tabel2[[#This Row],[V 2]]*10+Tabel2[[#This Row],[GT 2]])/Tabel2[[#This Row],[AW 2]]*10+Tabel2[[#This Row],[BONUS 2]]</f>
        <v>97.5</v>
      </c>
      <c r="AA105">
        <v>1</v>
      </c>
      <c r="AE105" s="23">
        <f>SUM(Tabel2[[#This Row],[V 3]]*10+Tabel2[[#This Row],[GT 3]])/Tabel2[[#This Row],[AW 3]]*10+Tabel2[[#This Row],[BONUS 3]]</f>
        <v>0</v>
      </c>
      <c r="AG105">
        <v>1</v>
      </c>
      <c r="AK105" s="23">
        <f>SUM(Tabel2[[#This Row],[V 4]]*10+Tabel2[[#This Row],[GT 4]])/Tabel2[[#This Row],[AW 4]]*10+Tabel2[[#This Row],[BONUS 4]]</f>
        <v>0</v>
      </c>
      <c r="AM105">
        <v>1</v>
      </c>
      <c r="AQ105" s="23">
        <f>SUM(Tabel2[[#This Row],[V 5]]*10+Tabel2[[#This Row],[GT 5]])/Tabel2[[#This Row],[AW 5]]*10+Tabel2[[#This Row],[BONUS 5]]</f>
        <v>0</v>
      </c>
      <c r="AS105">
        <v>1</v>
      </c>
      <c r="AW105" s="23">
        <f>SUM(Tabel2[[#This Row],[V 6]]*10+Tabel2[[#This Row],[GT 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5" s="22">
        <v>500</v>
      </c>
      <c r="BX105" s="30">
        <f>Tabel2[[#This Row],[Diploma]]-Tabel2[[#This Row],[Uitgeschreven]]</f>
        <v>0</v>
      </c>
      <c r="BY105" s="2" t="str">
        <f>IF(BX105=0,"geen actie",CONCATENATE("diploma uitschrijven: ",BV105," punten"))</f>
        <v>geen actie</v>
      </c>
      <c r="CA105" s="150">
        <f>Tabel2[[#This Row],[pnt t/m 2021/22]]</f>
        <v>521.8394660894661</v>
      </c>
      <c r="CB105" s="150">
        <f>Tabel2[[#This Row],[pnt 2022/2023]]</f>
        <v>97.5</v>
      </c>
      <c r="CC105" s="150">
        <f t="shared" si="12"/>
        <v>619.3394660894661</v>
      </c>
      <c r="CD105" s="150">
        <f>IF(Tabel2[[#This Row],[LPR 1]]&gt;0,1,0)</f>
        <v>0</v>
      </c>
      <c r="CE105" s="150">
        <f>IF(Tabel2[[#This Row],[LPR 2]]&gt;0,1,0)</f>
        <v>1</v>
      </c>
      <c r="CF105" s="150">
        <f>IF(Tabel2[[#This Row],[LPR 3]]&gt;0,1,0)</f>
        <v>0</v>
      </c>
      <c r="CG105" s="150">
        <f>IF(Tabel2[[#This Row],[LPR 4]]&gt;0,1,0)</f>
        <v>0</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1</v>
      </c>
      <c r="CO105" s="22" t="str">
        <f t="shared" si="7"/>
        <v/>
      </c>
      <c r="CP105" s="22" t="str">
        <f t="shared" si="8"/>
        <v/>
      </c>
      <c r="CQ105" s="22" t="str">
        <f t="shared" si="9"/>
        <v/>
      </c>
      <c r="CR105" s="22" t="str">
        <f t="shared" si="10"/>
        <v/>
      </c>
      <c r="CS105" s="22" t="str">
        <f t="shared" si="11"/>
        <v/>
      </c>
    </row>
    <row r="106" spans="1:97" x14ac:dyDescent="0.3">
      <c r="A106" s="22" t="s">
        <v>143</v>
      </c>
      <c r="B106" s="22" t="s">
        <v>778</v>
      </c>
      <c r="D106" s="22" t="s">
        <v>137</v>
      </c>
      <c r="E106" t="s">
        <v>266</v>
      </c>
      <c r="F106" s="22">
        <v>120486</v>
      </c>
      <c r="G106" s="25" t="s">
        <v>185</v>
      </c>
      <c r="H106" s="23">
        <f>Tabel2[[#This Row],[pnt t/m 2021/22]]+Tabel2[[#This Row],[pnt 2022/2023]]</f>
        <v>813.21428571428567</v>
      </c>
      <c r="I106">
        <v>2010</v>
      </c>
      <c r="J106">
        <v>2022</v>
      </c>
      <c r="K106" s="24">
        <f>Tabel2[[#This Row],[ijkdatum]]-Tabel2[[#This Row],[Geboren]]</f>
        <v>12</v>
      </c>
      <c r="L106" s="26">
        <f>Tabel2[[#This Row],[TTL 1]]+Tabel2[[#This Row],[TTL 2]]+Tabel2[[#This Row],[TTL 3]]+Tabel2[[#This Row],[TTL 4]]+Tabel2[[#This Row],[TTL 5]]+Tabel2[[#This Row],[TTL 6]]+Tabel2[[#This Row],[TTL 7]]+Tabel2[[#This Row],[TTL 8]]+Tabel2[[#This Row],[TTL 9]]+Tabel2[[#This Row],[TTL 10]]</f>
        <v>0</v>
      </c>
      <c r="M106" s="153">
        <v>813.21428571428567</v>
      </c>
      <c r="O106">
        <v>1</v>
      </c>
      <c r="S106" s="15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G106">
        <v>1</v>
      </c>
      <c r="AK106" s="23">
        <f>SUM(Tabel2[[#This Row],[V 4]]*10+Tabel2[[#This Row],[GT 4]])/Tabel2[[#This Row],[AW 4]]*10+Tabel2[[#This Row],[BONUS 4]]</f>
        <v>0</v>
      </c>
      <c r="AM106">
        <v>1</v>
      </c>
      <c r="AQ106" s="23">
        <f>SUM(Tabel2[[#This Row],[V 5]]*10+Tabel2[[#This Row],[GT 5]])/Tabel2[[#This Row],[AW 5]]*10+Tabel2[[#This Row],[BONUS 5]]</f>
        <v>0</v>
      </c>
      <c r="AS106">
        <v>1</v>
      </c>
      <c r="AW106" s="23">
        <f>SUM(Tabel2[[#This Row],[V 6]]*10+Tabel2[[#This Row],[GT 6]])/Tabel2[[#This Row],[AW 6]]*10+Tabel2[[#This Row],[BONUS 6]]</f>
        <v>0</v>
      </c>
      <c r="AY106">
        <v>1</v>
      </c>
      <c r="BC106" s="23">
        <f>SUM(Tabel2[[#This Row],[V 7]]*10+Tabel2[[#This Row],[GT 7]])/Tabel2[[#This Row],[AW 7]]*10+Tabel2[[#This Row],[BONUS 7]]</f>
        <v>0</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6" s="22">
        <v>750</v>
      </c>
      <c r="BX106" s="22">
        <f>Tabel2[[#This Row],[Diploma]]-Tabel2[[#This Row],[Uitgeschreven]]</f>
        <v>0</v>
      </c>
      <c r="BY106" s="155" t="str">
        <f>IF(BX106=0,"geen actie",CONCATENATE("diploma uitschrijven: ",BV106," punten"))</f>
        <v>geen actie</v>
      </c>
      <c r="CA106" s="150">
        <f>Tabel2[[#This Row],[pnt t/m 2021/22]]</f>
        <v>813.21428571428567</v>
      </c>
      <c r="CB106" s="150">
        <f>Tabel2[[#This Row],[pnt 2022/2023]]</f>
        <v>0</v>
      </c>
      <c r="CC106" s="150">
        <f t="shared" si="12"/>
        <v>813.21428571428567</v>
      </c>
      <c r="CD106" s="150">
        <f>IF(Tabel2[[#This Row],[LPR 1]]&gt;0,1,0)</f>
        <v>0</v>
      </c>
      <c r="CE106" s="150">
        <f>IF(Tabel2[[#This Row],[LPR 2]]&gt;0,1,0)</f>
        <v>0</v>
      </c>
      <c r="CF106" s="150">
        <f>IF(Tabel2[[#This Row],[LPR 3]]&gt;0,1,0)</f>
        <v>0</v>
      </c>
      <c r="CG106" s="150">
        <f>IF(Tabel2[[#This Row],[LPR 4]]&gt;0,1,0)</f>
        <v>0</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0</v>
      </c>
      <c r="CO106" s="22" t="str">
        <f t="shared" si="7"/>
        <v/>
      </c>
      <c r="CP106" s="22" t="str">
        <f t="shared" si="8"/>
        <v/>
      </c>
      <c r="CQ106" s="22" t="str">
        <f t="shared" si="9"/>
        <v/>
      </c>
      <c r="CR106" s="22" t="str">
        <f t="shared" si="10"/>
        <v/>
      </c>
      <c r="CS106" s="22" t="str">
        <f t="shared" si="11"/>
        <v/>
      </c>
    </row>
    <row r="107" spans="1:97" x14ac:dyDescent="0.3">
      <c r="A107" s="22" t="s">
        <v>143</v>
      </c>
      <c r="B107" s="22" t="s">
        <v>778</v>
      </c>
      <c r="D107" s="22" t="s">
        <v>137</v>
      </c>
      <c r="E107" t="s">
        <v>267</v>
      </c>
      <c r="F107" s="22">
        <v>120482</v>
      </c>
      <c r="G107" s="25" t="s">
        <v>185</v>
      </c>
      <c r="H107" s="23">
        <f>Tabel2[[#This Row],[pnt t/m 2021/22]]+Tabel2[[#This Row],[pnt 2022/2023]]</f>
        <v>713.45238095238096</v>
      </c>
      <c r="I107">
        <v>2010</v>
      </c>
      <c r="J107">
        <v>2022</v>
      </c>
      <c r="K107" s="24">
        <f>Tabel2[[#This Row],[ijkdatum]]-Tabel2[[#This Row],[Geboren]]</f>
        <v>12</v>
      </c>
      <c r="L107" s="26">
        <f>Tabel2[[#This Row],[TTL 1]]+Tabel2[[#This Row],[TTL 2]]+Tabel2[[#This Row],[TTL 3]]+Tabel2[[#This Row],[TTL 4]]+Tabel2[[#This Row],[TTL 5]]+Tabel2[[#This Row],[TTL 6]]+Tabel2[[#This Row],[TTL 7]]+Tabel2[[#This Row],[TTL 8]]+Tabel2[[#This Row],[TTL 9]]+Tabel2[[#This Row],[TTL 10]]</f>
        <v>0</v>
      </c>
      <c r="M107" s="153">
        <v>713.45238095238096</v>
      </c>
      <c r="O107">
        <v>1</v>
      </c>
      <c r="S107" s="153">
        <f>SUM(Tabel2[[#This Row],[V 1]]*10+Tabel2[[#This Row],[GT 1]])/Tabel2[[#This Row],[AW 1]]*10+Tabel2[[#This Row],[BONUS 1]]</f>
        <v>0</v>
      </c>
      <c r="U107">
        <v>1</v>
      </c>
      <c r="Y107" s="23">
        <f>SUM(Tabel2[[#This Row],[V 2]]*10+Tabel2[[#This Row],[GT 2]])/Tabel2[[#This Row],[AW 2]]*10+Tabel2[[#This Row],[BONUS 2]]</f>
        <v>0</v>
      </c>
      <c r="AA107">
        <v>1</v>
      </c>
      <c r="AE107" s="23">
        <f>SUM(Tabel2[[#This Row],[V 3]]*10+Tabel2[[#This Row],[GT 3]])/Tabel2[[#This Row],[AW 3]]*10+Tabel2[[#This Row],[BONUS 3]]</f>
        <v>0</v>
      </c>
      <c r="AG107">
        <v>1</v>
      </c>
      <c r="AK107" s="23">
        <f>SUM(Tabel2[[#This Row],[V 4]]*10+Tabel2[[#This Row],[GT 4]])/Tabel2[[#This Row],[AW 4]]*10+Tabel2[[#This Row],[BONUS 4]]</f>
        <v>0</v>
      </c>
      <c r="AM107">
        <v>1</v>
      </c>
      <c r="AQ107" s="23">
        <f>SUM(Tabel2[[#This Row],[V 5]]*10+Tabel2[[#This Row],[GT 5]])/Tabel2[[#This Row],[AW 5]]*10+Tabel2[[#This Row],[BONUS 5]]</f>
        <v>0</v>
      </c>
      <c r="AS107">
        <v>1</v>
      </c>
      <c r="AW107" s="23">
        <f>SUM(Tabel2[[#This Row],[V 6]]*10+Tabel2[[#This Row],[GT 6]])/Tabel2[[#This Row],[AW 6]]*10+Tabel2[[#This Row],[BONUS 6]]</f>
        <v>0</v>
      </c>
      <c r="AY107">
        <v>1</v>
      </c>
      <c r="BC107" s="23">
        <f>SUM(Tabel2[[#This Row],[V 7]]*10+Tabel2[[#This Row],[GT 7]])/Tabel2[[#This Row],[AW 7]]*10+Tabel2[[#This Row],[BONUS 7]]</f>
        <v>0</v>
      </c>
      <c r="BE107">
        <v>1</v>
      </c>
      <c r="BI107" s="23">
        <f>SUM(Tabel2[[#This Row],[V 8]]*10+Tabel2[[#This Row],[GT 8]])/Tabel2[[#This Row],[AW 8]]*10+Tabel2[[#This Row],[BONUS 8]]</f>
        <v>0</v>
      </c>
      <c r="BK107">
        <v>1</v>
      </c>
      <c r="BO107" s="23">
        <f>SUM(Tabel2[[#This Row],[V 9]]*10+Tabel2[[#This Row],[GT 9]])/Tabel2[[#This Row],[AW 9]]*10+Tabel2[[#This Row],[BONUS 9]]</f>
        <v>0</v>
      </c>
      <c r="BQ107">
        <v>1</v>
      </c>
      <c r="BU107" s="23">
        <f>SUM(Tabel2[[#This Row],[V 10]]*10+Tabel2[[#This Row],[GT 10]])/Tabel2[[#This Row],[AW 10]]*10+Tabel2[[#This Row],[BONUS 10]]</f>
        <v>0</v>
      </c>
      <c r="BV10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7" s="22">
        <v>500</v>
      </c>
      <c r="BX107" s="22">
        <f>Tabel2[[#This Row],[Diploma]]-Tabel2[[#This Row],[Uitgeschreven]]</f>
        <v>0</v>
      </c>
      <c r="BY107" s="155" t="str">
        <f>IF(BX107=0,"geen actie",CONCATENATE("diploma uitschrijven: ",BV107," punten"))</f>
        <v>geen actie</v>
      </c>
      <c r="CA107" s="150">
        <f>Tabel2[[#This Row],[pnt t/m 2021/22]]</f>
        <v>713.45238095238096</v>
      </c>
      <c r="CB107" s="150">
        <f>Tabel2[[#This Row],[pnt 2022/2023]]</f>
        <v>0</v>
      </c>
      <c r="CC107" s="150">
        <f t="shared" si="12"/>
        <v>713.45238095238096</v>
      </c>
      <c r="CD107" s="150">
        <f>IF(Tabel2[[#This Row],[LPR 1]]&gt;0,1,0)</f>
        <v>0</v>
      </c>
      <c r="CE107" s="150">
        <f>IF(Tabel2[[#This Row],[LPR 2]]&gt;0,1,0)</f>
        <v>0</v>
      </c>
      <c r="CF107" s="150">
        <f>IF(Tabel2[[#This Row],[LPR 3]]&gt;0,1,0)</f>
        <v>0</v>
      </c>
      <c r="CG107" s="150">
        <f>IF(Tabel2[[#This Row],[LPR 4]]&gt;0,1,0)</f>
        <v>0</v>
      </c>
      <c r="CH107" s="150">
        <f>IF(Tabel2[[#This Row],[LPR 5]]&gt;0,1,0)</f>
        <v>0</v>
      </c>
      <c r="CI107" s="150">
        <f>IF(Tabel2[[#This Row],[LPR 6]]&gt;0,1,0)</f>
        <v>0</v>
      </c>
      <c r="CJ107" s="150">
        <f>IF(Tabel2[[#This Row],[LPR 7]]&gt;0,1,0)</f>
        <v>0</v>
      </c>
      <c r="CK107" s="150">
        <f>IF(Tabel2[[#This Row],[LPR 8]]&gt;0,1,0)</f>
        <v>0</v>
      </c>
      <c r="CL107" s="150">
        <f>IF(Tabel2[[#This Row],[LPR 9]]&gt;0,1,0)</f>
        <v>0</v>
      </c>
      <c r="CM107" s="150">
        <f>IF(Tabel2[[#This Row],[LPR 10]]&gt;0,1,0)</f>
        <v>0</v>
      </c>
      <c r="CN107" s="150">
        <f>SUM(Tabel7[[#This Row],[sep]:[jun]])</f>
        <v>0</v>
      </c>
      <c r="CO107" s="22" t="str">
        <f t="shared" si="7"/>
        <v/>
      </c>
      <c r="CP107" s="22" t="str">
        <f t="shared" si="8"/>
        <v/>
      </c>
      <c r="CQ107" s="22" t="str">
        <f t="shared" si="9"/>
        <v/>
      </c>
      <c r="CR107" s="22" t="str">
        <f t="shared" si="10"/>
        <v/>
      </c>
      <c r="CS107" s="22" t="str">
        <f t="shared" si="11"/>
        <v/>
      </c>
    </row>
    <row r="108" spans="1:97" x14ac:dyDescent="0.3">
      <c r="A108" s="22" t="s">
        <v>153</v>
      </c>
      <c r="B108" s="22" t="s">
        <v>778</v>
      </c>
      <c r="D108" s="22" t="s">
        <v>137</v>
      </c>
      <c r="E108" t="s">
        <v>268</v>
      </c>
      <c r="F108" s="22">
        <v>120447</v>
      </c>
      <c r="G108" s="25" t="s">
        <v>182</v>
      </c>
      <c r="H108" s="23">
        <f>Tabel2[[#This Row],[pnt t/m 2021/22]]+Tabel2[[#This Row],[pnt 2022/2023]]</f>
        <v>10</v>
      </c>
      <c r="I108">
        <v>2010</v>
      </c>
      <c r="J108">
        <v>2022</v>
      </c>
      <c r="K108" s="24">
        <f>Tabel2[[#This Row],[ijkdatum]]-Tabel2[[#This Row],[Geboren]]</f>
        <v>12</v>
      </c>
      <c r="L108" s="26">
        <f>Tabel2[[#This Row],[TTL 1]]+Tabel2[[#This Row],[TTL 2]]+Tabel2[[#This Row],[TTL 3]]+Tabel2[[#This Row],[TTL 4]]+Tabel2[[#This Row],[TTL 5]]+Tabel2[[#This Row],[TTL 6]]+Tabel2[[#This Row],[TTL 7]]+Tabel2[[#This Row],[TTL 8]]+Tabel2[[#This Row],[TTL 9]]+Tabel2[[#This Row],[TTL 10]]</f>
        <v>0</v>
      </c>
      <c r="M108" s="153">
        <v>10</v>
      </c>
      <c r="O108">
        <v>1</v>
      </c>
      <c r="S108" s="153">
        <f>SUM(Tabel2[[#This Row],[V 1]]*10+Tabel2[[#This Row],[GT 1]])/Tabel2[[#This Row],[AW 1]]*10+Tabel2[[#This Row],[BONUS 1]]</f>
        <v>0</v>
      </c>
      <c r="U108">
        <v>1</v>
      </c>
      <c r="Y108" s="23">
        <f>SUM(Tabel2[[#This Row],[V 2]]*10+Tabel2[[#This Row],[GT 2]])/Tabel2[[#This Row],[AW 2]]*10+Tabel2[[#This Row],[BONUS 2]]</f>
        <v>0</v>
      </c>
      <c r="AA108">
        <v>1</v>
      </c>
      <c r="AE108" s="23">
        <f>SUM(Tabel2[[#This Row],[V 3]]*10+Tabel2[[#This Row],[GT 3]])/Tabel2[[#This Row],[AW 3]]*10+Tabel2[[#This Row],[BONUS 3]]</f>
        <v>0</v>
      </c>
      <c r="AG108">
        <v>1</v>
      </c>
      <c r="AK108" s="23">
        <f>SUM(Tabel2[[#This Row],[V 4]]*10+Tabel2[[#This Row],[GT 4]])/Tabel2[[#This Row],[AW 4]]*10+Tabel2[[#This Row],[BONUS 4]]</f>
        <v>0</v>
      </c>
      <c r="AM108">
        <v>1</v>
      </c>
      <c r="AQ108" s="23">
        <f>SUM(Tabel2[[#This Row],[V 5]]*10+Tabel2[[#This Row],[GT 5]])/Tabel2[[#This Row],[AW 5]]*10+Tabel2[[#This Row],[BONUS 5]]</f>
        <v>0</v>
      </c>
      <c r="AS108">
        <v>1</v>
      </c>
      <c r="AW108" s="23">
        <f>SUM(Tabel2[[#This Row],[V 6]]*10+Tabel2[[#This Row],[GT 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8" s="22">
        <v>0</v>
      </c>
      <c r="BX108" s="22">
        <f>Tabel2[[#This Row],[Diploma]]-Tabel2[[#This Row],[Uitgeschreven]]</f>
        <v>0</v>
      </c>
      <c r="BY108" s="155" t="str">
        <f>IF(BX108=0,"geen actie",CONCATENATE("diploma uitschrijven: ",BV108," punten"))</f>
        <v>geen actie</v>
      </c>
      <c r="CA108" s="150">
        <f>Tabel2[[#This Row],[pnt t/m 2021/22]]</f>
        <v>10</v>
      </c>
      <c r="CB108" s="150">
        <f>Tabel2[[#This Row],[pnt 2022/2023]]</f>
        <v>0</v>
      </c>
      <c r="CC108" s="150">
        <f t="shared" si="12"/>
        <v>10</v>
      </c>
      <c r="CD108" s="150">
        <f>IF(Tabel2[[#This Row],[LPR 1]]&gt;0,1,0)</f>
        <v>0</v>
      </c>
      <c r="CE108" s="150">
        <f>IF(Tabel2[[#This Row],[LPR 2]]&gt;0,1,0)</f>
        <v>0</v>
      </c>
      <c r="CF108" s="150">
        <f>IF(Tabel2[[#This Row],[LPR 3]]&gt;0,1,0)</f>
        <v>0</v>
      </c>
      <c r="CG108" s="150">
        <f>IF(Tabel2[[#This Row],[LPR 4]]&gt;0,1,0)</f>
        <v>0</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0</v>
      </c>
      <c r="CO108" s="22" t="str">
        <f t="shared" si="7"/>
        <v/>
      </c>
      <c r="CP108" s="22" t="str">
        <f t="shared" si="8"/>
        <v/>
      </c>
      <c r="CQ108" s="22" t="str">
        <f t="shared" si="9"/>
        <v/>
      </c>
      <c r="CR108" s="22" t="str">
        <f t="shared" si="10"/>
        <v/>
      </c>
      <c r="CS108" s="22" t="str">
        <f t="shared" si="11"/>
        <v/>
      </c>
    </row>
    <row r="109" spans="1:97" x14ac:dyDescent="0.3">
      <c r="A109" s="22" t="s">
        <v>143</v>
      </c>
      <c r="B109" s="22" t="s">
        <v>779</v>
      </c>
      <c r="D109" s="22" t="s">
        <v>137</v>
      </c>
      <c r="E109" t="s">
        <v>269</v>
      </c>
      <c r="F109" s="22">
        <v>120161</v>
      </c>
      <c r="G109" s="25" t="s">
        <v>180</v>
      </c>
      <c r="H109" s="23">
        <f>Tabel2[[#This Row],[pnt t/m 2021/22]]+Tabel2[[#This Row],[pnt 2022/2023]]</f>
        <v>89.375</v>
      </c>
      <c r="I109">
        <v>2007</v>
      </c>
      <c r="J109">
        <v>2022</v>
      </c>
      <c r="K109" s="24">
        <f>Tabel2[[#This Row],[ijkdatum]]-Tabel2[[#This Row],[Geboren]]</f>
        <v>15</v>
      </c>
      <c r="L109" s="26">
        <f>Tabel2[[#This Row],[TTL 1]]+Tabel2[[#This Row],[TTL 2]]+Tabel2[[#This Row],[TTL 3]]+Tabel2[[#This Row],[TTL 4]]+Tabel2[[#This Row],[TTL 5]]+Tabel2[[#This Row],[TTL 6]]+Tabel2[[#This Row],[TTL 7]]+Tabel2[[#This Row],[TTL 8]]+Tabel2[[#This Row],[TTL 9]]+Tabel2[[#This Row],[TTL 10]]</f>
        <v>0</v>
      </c>
      <c r="M109" s="153">
        <v>89.375</v>
      </c>
      <c r="O109">
        <v>1</v>
      </c>
      <c r="S109" s="153">
        <f>SUM(Tabel2[[#This Row],[V 1]]*10+Tabel2[[#This Row],[GT 1]])/Tabel2[[#This Row],[AW 1]]*10+Tabel2[[#This Row],[BONUS 1]]</f>
        <v>0</v>
      </c>
      <c r="U109">
        <v>1</v>
      </c>
      <c r="Y109" s="153">
        <f>SUM(Tabel2[[#This Row],[V 2]]*10+Tabel2[[#This Row],[GT 2]])/Tabel2[[#This Row],[AW 2]]*10+Tabel2[[#This Row],[BONUS 2]]</f>
        <v>0</v>
      </c>
      <c r="AA109">
        <v>1</v>
      </c>
      <c r="AE109" s="153">
        <f>SUM(Tabel2[[#This Row],[V 3]]*10+Tabel2[[#This Row],[GT 3]])/Tabel2[[#This Row],[AW 3]]*10+Tabel2[[#This Row],[BONUS 3]]</f>
        <v>0</v>
      </c>
      <c r="AG109">
        <v>1</v>
      </c>
      <c r="AK109" s="153">
        <f>SUM(Tabel2[[#This Row],[V 4]]*10+Tabel2[[#This Row],[GT 4]])/Tabel2[[#This Row],[AW 4]]*10+Tabel2[[#This Row],[BONUS 4]]</f>
        <v>0</v>
      </c>
      <c r="AM109">
        <v>1</v>
      </c>
      <c r="AQ109" s="153">
        <f>SUM(Tabel2[[#This Row],[V 5]]*10+Tabel2[[#This Row],[GT 5]])/Tabel2[[#This Row],[AW 5]]*10+Tabel2[[#This Row],[BONUS 5]]</f>
        <v>0</v>
      </c>
      <c r="AS109">
        <v>1</v>
      </c>
      <c r="AW109" s="153">
        <f>SUM(Tabel2[[#This Row],[V 6]]*10+Tabel2[[#This Row],[GT 6]])/Tabel2[[#This Row],[AW 6]]*10+Tabel2[[#This Row],[BONUS 6]]</f>
        <v>0</v>
      </c>
      <c r="AY109">
        <v>1</v>
      </c>
      <c r="BC109" s="153">
        <f>SUM(Tabel2[[#This Row],[V 7]]*10+Tabel2[[#This Row],[GT 7]])/Tabel2[[#This Row],[AW 7]]*10+Tabel2[[#This Row],[BONUS 7]]</f>
        <v>0</v>
      </c>
      <c r="BE109">
        <v>1</v>
      </c>
      <c r="BI109" s="153">
        <f>SUM(Tabel2[[#This Row],[V 8]]*10+Tabel2[[#This Row],[GT 8]])/Tabel2[[#This Row],[AW 8]]*10+Tabel2[[#This Row],[BONUS 8]]</f>
        <v>0</v>
      </c>
      <c r="BK109">
        <v>1</v>
      </c>
      <c r="BO109" s="153">
        <f>SUM(Tabel2[[#This Row],[V 9]]*10+Tabel2[[#This Row],[GT 9]])/Tabel2[[#This Row],[AW 9]]*10+Tabel2[[#This Row],[BONUS 9]]</f>
        <v>0</v>
      </c>
      <c r="BQ109">
        <v>1</v>
      </c>
      <c r="BU109" s="23">
        <f>SUM(Tabel2[[#This Row],[V 10]]*10+Tabel2[[#This Row],[GT 10]])/Tabel2[[#This Row],[AW 10]]*10+Tabel2[[#This Row],[BONUS 10]]</f>
        <v>0</v>
      </c>
      <c r="BV1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9" s="22">
        <v>0</v>
      </c>
      <c r="BX109" s="22">
        <f>Tabel2[[#This Row],[Diploma]]-Tabel2[[#This Row],[Uitgeschreven]]</f>
        <v>0</v>
      </c>
      <c r="BY109" s="155" t="str">
        <f>IF(BX109=0,"geen actie",CONCATENATE("diploma uitschrijven: ",BV109," punten"))</f>
        <v>geen actie</v>
      </c>
      <c r="CA109" s="150">
        <f>Tabel2[[#This Row],[pnt t/m 2021/22]]</f>
        <v>89.375</v>
      </c>
      <c r="CB109" s="150">
        <f>Tabel2[[#This Row],[pnt 2022/2023]]</f>
        <v>0</v>
      </c>
      <c r="CC109" s="150">
        <f t="shared" si="12"/>
        <v>89.375</v>
      </c>
      <c r="CD109" s="150">
        <f>IF(Tabel2[[#This Row],[LPR 1]]&gt;0,1,0)</f>
        <v>0</v>
      </c>
      <c r="CE109" s="150">
        <f>IF(Tabel2[[#This Row],[LPR 2]]&gt;0,1,0)</f>
        <v>0</v>
      </c>
      <c r="CF109" s="150">
        <f>IF(Tabel2[[#This Row],[LPR 3]]&gt;0,1,0)</f>
        <v>0</v>
      </c>
      <c r="CG109" s="150">
        <f>IF(Tabel2[[#This Row],[LPR 4]]&gt;0,1,0)</f>
        <v>0</v>
      </c>
      <c r="CH109" s="150">
        <f>IF(Tabel2[[#This Row],[LPR 5]]&gt;0,1,0)</f>
        <v>0</v>
      </c>
      <c r="CI109" s="150">
        <f>IF(Tabel2[[#This Row],[LPR 6]]&gt;0,1,0)</f>
        <v>0</v>
      </c>
      <c r="CJ109" s="150">
        <f>IF(Tabel2[[#This Row],[LPR 7]]&gt;0,1,0)</f>
        <v>0</v>
      </c>
      <c r="CK109" s="150">
        <f>IF(Tabel2[[#This Row],[LPR 8]]&gt;0,1,0)</f>
        <v>0</v>
      </c>
      <c r="CL109" s="150">
        <f>IF(Tabel2[[#This Row],[LPR 9]]&gt;0,1,0)</f>
        <v>0</v>
      </c>
      <c r="CM109" s="150">
        <f>IF(Tabel2[[#This Row],[LPR 10]]&gt;0,1,0)</f>
        <v>0</v>
      </c>
      <c r="CN109" s="150">
        <f>SUM(Tabel7[[#This Row],[sep]:[jun]])</f>
        <v>0</v>
      </c>
      <c r="CO109" s="22" t="str">
        <f t="shared" si="7"/>
        <v/>
      </c>
      <c r="CP109" s="22" t="str">
        <f t="shared" si="8"/>
        <v/>
      </c>
      <c r="CQ109" s="22" t="str">
        <f t="shared" si="9"/>
        <v/>
      </c>
      <c r="CR109" s="22" t="str">
        <f t="shared" si="10"/>
        <v/>
      </c>
      <c r="CS109" s="22" t="str">
        <f t="shared" si="11"/>
        <v/>
      </c>
    </row>
    <row r="110" spans="1:97" x14ac:dyDescent="0.3">
      <c r="A110" s="22" t="s">
        <v>143</v>
      </c>
      <c r="B110" s="22" t="s">
        <v>778</v>
      </c>
      <c r="D110" s="22" t="s">
        <v>137</v>
      </c>
      <c r="E110" t="s">
        <v>270</v>
      </c>
      <c r="F110" s="22">
        <v>117096</v>
      </c>
      <c r="G110" s="25" t="s">
        <v>147</v>
      </c>
      <c r="H110" s="142">
        <f>Tabel2[[#This Row],[pnt t/m 2021/22]]+Tabel2[[#This Row],[pnt 2022/2023]]</f>
        <v>3043.7110389610389</v>
      </c>
      <c r="I110">
        <v>2007</v>
      </c>
      <c r="J110">
        <v>2022</v>
      </c>
      <c r="K110" s="24">
        <f>Tabel2[[#This Row],[ijkdatum]]-Tabel2[[#This Row],[Geboren]]</f>
        <v>15</v>
      </c>
      <c r="L110" s="26">
        <f>Tabel2[[#This Row],[TTL 1]]+Tabel2[[#This Row],[TTL 2]]+Tabel2[[#This Row],[TTL 3]]+Tabel2[[#This Row],[TTL 4]]+Tabel2[[#This Row],[TTL 5]]+Tabel2[[#This Row],[TTL 6]]+Tabel2[[#This Row],[TTL 7]]+Tabel2[[#This Row],[TTL 8]]+Tabel2[[#This Row],[TTL 9]]+Tabel2[[#This Row],[TTL 10]]</f>
        <v>0</v>
      </c>
      <c r="M110" s="141">
        <v>3043.7110389610389</v>
      </c>
      <c r="O110">
        <v>1</v>
      </c>
      <c r="S110" s="23">
        <f>SUM(Tabel2[[#This Row],[V 1]]*10+Tabel2[[#This Row],[GT 1]])/Tabel2[[#This Row],[AW 1]]*10+Tabel2[[#This Row],[BONUS 1]]</f>
        <v>0</v>
      </c>
      <c r="U110">
        <v>1</v>
      </c>
      <c r="Y110" s="23">
        <f>SUM(Tabel2[[#This Row],[V 2]]*10+Tabel2[[#This Row],[GT 2]])/Tabel2[[#This Row],[AW 2]]*10+Tabel2[[#This Row],[BONUS 2]]</f>
        <v>0</v>
      </c>
      <c r="AA110">
        <v>1</v>
      </c>
      <c r="AE110" s="23">
        <f>SUM(Tabel2[[#This Row],[V 3]]*10+Tabel2[[#This Row],[GT 3]])/Tabel2[[#This Row],[AW 3]]*10+Tabel2[[#This Row],[BONUS 3]]</f>
        <v>0</v>
      </c>
      <c r="AG110">
        <v>1</v>
      </c>
      <c r="AK110" s="23">
        <f>SUM(Tabel2[[#This Row],[V 4]]*10+Tabel2[[#This Row],[GT 4]])/Tabel2[[#This Row],[AW 4]]*10+Tabel2[[#This Row],[BONUS 4]]</f>
        <v>0</v>
      </c>
      <c r="AM110">
        <v>1</v>
      </c>
      <c r="AQ110" s="23">
        <f>SUM(Tabel2[[#This Row],[V 5]]*10+Tabel2[[#This Row],[GT 5]])/Tabel2[[#This Row],[AW 5]]*10+Tabel2[[#This Row],[BONUS 5]]</f>
        <v>0</v>
      </c>
      <c r="AS110">
        <v>1</v>
      </c>
      <c r="AW110" s="23">
        <f>SUM(Tabel2[[#This Row],[V 6]]*10+Tabel2[[#This Row],[GT 6]])/Tabel2[[#This Row],[AW 6]]*10+Tabel2[[#This Row],[BONUS 6]]</f>
        <v>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10" s="22">
        <v>3000</v>
      </c>
      <c r="BX110" s="30">
        <f>Tabel2[[#This Row],[Diploma]]-Tabel2[[#This Row],[Uitgeschreven]]</f>
        <v>0</v>
      </c>
      <c r="BY110" s="2" t="str">
        <f>IF(BX110=0,"geen actie",CONCATENATE("diploma uitschrijven: ",BV110," punten"))</f>
        <v>geen actie</v>
      </c>
      <c r="CA110" s="150">
        <f>Tabel2[[#This Row],[pnt t/m 2021/22]]</f>
        <v>3043.7110389610389</v>
      </c>
      <c r="CB110" s="150">
        <f>Tabel2[[#This Row],[pnt 2022/2023]]</f>
        <v>0</v>
      </c>
      <c r="CC110" s="150">
        <f t="shared" si="12"/>
        <v>3043.7110389610389</v>
      </c>
      <c r="CD110" s="150">
        <f>IF(Tabel2[[#This Row],[LPR 1]]&gt;0,1,0)</f>
        <v>0</v>
      </c>
      <c r="CE110" s="150">
        <f>IF(Tabel2[[#This Row],[LPR 2]]&gt;0,1,0)</f>
        <v>0</v>
      </c>
      <c r="CF110" s="150">
        <f>IF(Tabel2[[#This Row],[LPR 3]]&gt;0,1,0)</f>
        <v>0</v>
      </c>
      <c r="CG110" s="150">
        <f>IF(Tabel2[[#This Row],[LPR 4]]&gt;0,1,0)</f>
        <v>0</v>
      </c>
      <c r="CH110" s="150">
        <f>IF(Tabel2[[#This Row],[LPR 5]]&gt;0,1,0)</f>
        <v>0</v>
      </c>
      <c r="CI110" s="150">
        <f>IF(Tabel2[[#This Row],[LPR 6]]&gt;0,1,0)</f>
        <v>0</v>
      </c>
      <c r="CJ110" s="150">
        <f>IF(Tabel2[[#This Row],[LPR 7]]&gt;0,1,0)</f>
        <v>0</v>
      </c>
      <c r="CK110" s="150">
        <f>IF(Tabel2[[#This Row],[LPR 8]]&gt;0,1,0)</f>
        <v>0</v>
      </c>
      <c r="CL110" s="150">
        <f>IF(Tabel2[[#This Row],[LPR 9]]&gt;0,1,0)</f>
        <v>0</v>
      </c>
      <c r="CM110" s="150">
        <f>IF(Tabel2[[#This Row],[LPR 10]]&gt;0,1,0)</f>
        <v>0</v>
      </c>
      <c r="CN110" s="150">
        <f>SUM(Tabel7[[#This Row],[sep]:[jun]])</f>
        <v>0</v>
      </c>
      <c r="CO110" s="22" t="str">
        <f t="shared" si="7"/>
        <v/>
      </c>
      <c r="CP110" s="22" t="str">
        <f t="shared" si="8"/>
        <v/>
      </c>
      <c r="CQ110" s="22" t="str">
        <f t="shared" si="9"/>
        <v/>
      </c>
      <c r="CR110" s="22" t="str">
        <f t="shared" si="10"/>
        <v/>
      </c>
      <c r="CS110" s="22" t="str">
        <f t="shared" si="11"/>
        <v/>
      </c>
    </row>
    <row r="111" spans="1:97" x14ac:dyDescent="0.3">
      <c r="A111" s="22" t="s">
        <v>169</v>
      </c>
      <c r="B111" s="22" t="s">
        <v>778</v>
      </c>
      <c r="D111" s="22" t="s">
        <v>137</v>
      </c>
      <c r="E111" t="s">
        <v>271</v>
      </c>
      <c r="F111" s="22">
        <v>120467</v>
      </c>
      <c r="G111" s="25" t="s">
        <v>149</v>
      </c>
      <c r="H111" s="23">
        <f>Tabel2[[#This Row],[pnt t/m 2021/22]]+Tabel2[[#This Row],[pnt 2022/2023]]</f>
        <v>36.25</v>
      </c>
      <c r="I111">
        <v>2013</v>
      </c>
      <c r="J111">
        <v>2022</v>
      </c>
      <c r="K111" s="24">
        <f>Tabel2[[#This Row],[ijkdatum]]-Tabel2[[#This Row],[Geboren]]</f>
        <v>9</v>
      </c>
      <c r="L111" s="26">
        <f>Tabel2[[#This Row],[TTL 1]]+Tabel2[[#This Row],[TTL 2]]+Tabel2[[#This Row],[TTL 3]]+Tabel2[[#This Row],[TTL 4]]+Tabel2[[#This Row],[TTL 5]]+Tabel2[[#This Row],[TTL 6]]+Tabel2[[#This Row],[TTL 7]]+Tabel2[[#This Row],[TTL 8]]+Tabel2[[#This Row],[TTL 9]]+Tabel2[[#This Row],[TTL 10]]</f>
        <v>0</v>
      </c>
      <c r="M111" s="153">
        <v>36.25</v>
      </c>
      <c r="O111">
        <v>1</v>
      </c>
      <c r="S111" s="153">
        <f>SUM(Tabel2[[#This Row],[V 1]]*10+Tabel2[[#This Row],[GT 1]])/Tabel2[[#This Row],[AW 1]]*10+Tabel2[[#This Row],[BONUS 1]]</f>
        <v>0</v>
      </c>
      <c r="U111">
        <v>1</v>
      </c>
      <c r="Y111" s="23">
        <f>SUM(Tabel2[[#This Row],[V 2]]*10+Tabel2[[#This Row],[GT 2]])/Tabel2[[#This Row],[AW 2]]*10+Tabel2[[#This Row],[BONUS 2]]</f>
        <v>0</v>
      </c>
      <c r="AA111">
        <v>1</v>
      </c>
      <c r="AE111" s="23">
        <f>SUM(Tabel2[[#This Row],[V 3]]*10+Tabel2[[#This Row],[GT 3]])/Tabel2[[#This Row],[AW 3]]*10+Tabel2[[#This Row],[BONUS 3]]</f>
        <v>0</v>
      </c>
      <c r="AG111">
        <v>1</v>
      </c>
      <c r="AK111" s="23">
        <f>SUM(Tabel2[[#This Row],[V 4]]*10+Tabel2[[#This Row],[GT 4]])/Tabel2[[#This Row],[AW 4]]*10+Tabel2[[#This Row],[BONUS 4]]</f>
        <v>0</v>
      </c>
      <c r="AM111">
        <v>1</v>
      </c>
      <c r="AQ111" s="23">
        <f>SUM(Tabel2[[#This Row],[V 5]]*10+Tabel2[[#This Row],[GT 5]])/Tabel2[[#This Row],[AW 5]]*10+Tabel2[[#This Row],[BONUS 5]]</f>
        <v>0</v>
      </c>
      <c r="AS111">
        <v>1</v>
      </c>
      <c r="AW111" s="23">
        <f>SUM(Tabel2[[#This Row],[V 6]]*10+Tabel2[[#This Row],[GT 6]])/Tabel2[[#This Row],[AW 6]]*10+Tabel2[[#This Row],[BONUS 6]]</f>
        <v>0</v>
      </c>
      <c r="AY111">
        <v>1</v>
      </c>
      <c r="BC111" s="23">
        <f>SUM(Tabel2[[#This Row],[V 7]]*10+Tabel2[[#This Row],[GT 7]])/Tabel2[[#This Row],[AW 7]]*10+Tabel2[[#This Row],[BONUS 7]]</f>
        <v>0</v>
      </c>
      <c r="BE111">
        <v>1</v>
      </c>
      <c r="BI111" s="23">
        <f>SUM(Tabel2[[#This Row],[V 8]]*10+Tabel2[[#This Row],[GT 8]])/Tabel2[[#This Row],[AW 8]]*10+Tabel2[[#This Row],[BONUS 8]]</f>
        <v>0</v>
      </c>
      <c r="BK111">
        <v>1</v>
      </c>
      <c r="BO111" s="23">
        <f>SUM(Tabel2[[#This Row],[V 9]]*10+Tabel2[[#This Row],[GT 9]])/Tabel2[[#This Row],[AW 9]]*10+Tabel2[[#This Row],[BONUS 9]]</f>
        <v>0</v>
      </c>
      <c r="BQ111">
        <v>1</v>
      </c>
      <c r="BU111" s="23">
        <f>SUM(Tabel2[[#This Row],[V 10]]*10+Tabel2[[#This Row],[GT 10]])/Tabel2[[#This Row],[AW 10]]*10+Tabel2[[#This Row],[BONUS 10]]</f>
        <v>0</v>
      </c>
      <c r="BV1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1" s="22">
        <v>0</v>
      </c>
      <c r="BX111" s="22">
        <f>Tabel2[[#This Row],[Diploma]]-Tabel2[[#This Row],[Uitgeschreven]]</f>
        <v>0</v>
      </c>
      <c r="BY111" s="155" t="str">
        <f>IF(BX111=0,"geen actie",CONCATENATE("diploma uitschrijven: ",BV111," punten"))</f>
        <v>geen actie</v>
      </c>
      <c r="CA111" s="150">
        <f>Tabel2[[#This Row],[pnt t/m 2021/22]]</f>
        <v>36.25</v>
      </c>
      <c r="CB111" s="150">
        <f>Tabel2[[#This Row],[pnt 2022/2023]]</f>
        <v>0</v>
      </c>
      <c r="CC111" s="150">
        <f t="shared" si="12"/>
        <v>36.25</v>
      </c>
      <c r="CD111" s="150">
        <f>IF(Tabel2[[#This Row],[LPR 1]]&gt;0,1,0)</f>
        <v>0</v>
      </c>
      <c r="CE111" s="150">
        <f>IF(Tabel2[[#This Row],[LPR 2]]&gt;0,1,0)</f>
        <v>0</v>
      </c>
      <c r="CF111" s="150">
        <f>IF(Tabel2[[#This Row],[LPR 3]]&gt;0,1,0)</f>
        <v>0</v>
      </c>
      <c r="CG111" s="150">
        <f>IF(Tabel2[[#This Row],[LPR 4]]&gt;0,1,0)</f>
        <v>0</v>
      </c>
      <c r="CH111" s="150">
        <f>IF(Tabel2[[#This Row],[LPR 5]]&gt;0,1,0)</f>
        <v>0</v>
      </c>
      <c r="CI111" s="150">
        <f>IF(Tabel2[[#This Row],[LPR 6]]&gt;0,1,0)</f>
        <v>0</v>
      </c>
      <c r="CJ111" s="150">
        <f>IF(Tabel2[[#This Row],[LPR 7]]&gt;0,1,0)</f>
        <v>0</v>
      </c>
      <c r="CK111" s="150">
        <f>IF(Tabel2[[#This Row],[LPR 8]]&gt;0,1,0)</f>
        <v>0</v>
      </c>
      <c r="CL111" s="150">
        <f>IF(Tabel2[[#This Row],[LPR 9]]&gt;0,1,0)</f>
        <v>0</v>
      </c>
      <c r="CM111" s="150">
        <f>IF(Tabel2[[#This Row],[LPR 10]]&gt;0,1,0)</f>
        <v>0</v>
      </c>
      <c r="CN111" s="150">
        <f>SUM(Tabel7[[#This Row],[sep]:[jun]])</f>
        <v>0</v>
      </c>
      <c r="CO111" s="22" t="str">
        <f t="shared" si="7"/>
        <v/>
      </c>
      <c r="CP111" s="22" t="str">
        <f t="shared" si="8"/>
        <v/>
      </c>
      <c r="CQ111" s="22" t="str">
        <f t="shared" si="9"/>
        <v/>
      </c>
      <c r="CR111" s="22" t="str">
        <f t="shared" si="10"/>
        <v/>
      </c>
      <c r="CS111" s="22" t="str">
        <f t="shared" si="11"/>
        <v/>
      </c>
    </row>
    <row r="112" spans="1:97" x14ac:dyDescent="0.3">
      <c r="A112" s="22" t="s">
        <v>169</v>
      </c>
      <c r="B112" s="22" t="s">
        <v>778</v>
      </c>
      <c r="D112" s="22" t="s">
        <v>137</v>
      </c>
      <c r="E112" t="s">
        <v>272</v>
      </c>
      <c r="F112" s="22">
        <v>119941</v>
      </c>
      <c r="G112" s="25" t="s">
        <v>171</v>
      </c>
      <c r="H112" s="23">
        <f>Tabel2[[#This Row],[pnt t/m 2021/22]]+Tabel2[[#This Row],[pnt 2022/2023]]</f>
        <v>150</v>
      </c>
      <c r="I112">
        <v>2012</v>
      </c>
      <c r="J112">
        <v>2022</v>
      </c>
      <c r="K112" s="24">
        <f>Tabel2[[#This Row],[ijkdatum]]-Tabel2[[#This Row],[Geboren]]</f>
        <v>10</v>
      </c>
      <c r="L112" s="26">
        <f>Tabel2[[#This Row],[TTL 1]]+Tabel2[[#This Row],[TTL 2]]+Tabel2[[#This Row],[TTL 3]]+Tabel2[[#This Row],[TTL 4]]+Tabel2[[#This Row],[TTL 5]]+Tabel2[[#This Row],[TTL 6]]+Tabel2[[#This Row],[TTL 7]]+Tabel2[[#This Row],[TTL 8]]+Tabel2[[#This Row],[TTL 9]]+Tabel2[[#This Row],[TTL 10]]</f>
        <v>0</v>
      </c>
      <c r="M112" s="153">
        <v>150</v>
      </c>
      <c r="O112">
        <v>1</v>
      </c>
      <c r="S112" s="153">
        <f>SUM(Tabel2[[#This Row],[V 1]]*10+Tabel2[[#This Row],[GT 1]])/Tabel2[[#This Row],[AW 1]]*10+Tabel2[[#This Row],[BONUS 1]]</f>
        <v>0</v>
      </c>
      <c r="U112">
        <v>1</v>
      </c>
      <c r="Y112" s="153">
        <f>SUM(Tabel2[[#This Row],[V 2]]*10+Tabel2[[#This Row],[GT 2]])/Tabel2[[#This Row],[AW 2]]*10+Tabel2[[#This Row],[BONUS 2]]</f>
        <v>0</v>
      </c>
      <c r="AA112">
        <v>1</v>
      </c>
      <c r="AE112" s="153">
        <f>SUM(Tabel2[[#This Row],[V 3]]*10+Tabel2[[#This Row],[GT 3]])/Tabel2[[#This Row],[AW 3]]*10+Tabel2[[#This Row],[BONUS 3]]</f>
        <v>0</v>
      </c>
      <c r="AG112">
        <v>1</v>
      </c>
      <c r="AK112" s="153">
        <f>SUM(Tabel2[[#This Row],[V 4]]*10+Tabel2[[#This Row],[GT 4]])/Tabel2[[#This Row],[AW 4]]*10+Tabel2[[#This Row],[BONUS 4]]</f>
        <v>0</v>
      </c>
      <c r="AM112">
        <v>1</v>
      </c>
      <c r="AQ112" s="153">
        <f>SUM(Tabel2[[#This Row],[V 5]]*10+Tabel2[[#This Row],[GT 5]])/Tabel2[[#This Row],[AW 5]]*10+Tabel2[[#This Row],[BONUS 5]]</f>
        <v>0</v>
      </c>
      <c r="AS112">
        <v>1</v>
      </c>
      <c r="AW112" s="153">
        <f>SUM(Tabel2[[#This Row],[V 6]]*10+Tabel2[[#This Row],[GT 6]])/Tabel2[[#This Row],[AW 6]]*10+Tabel2[[#This Row],[BONUS 6]]</f>
        <v>0</v>
      </c>
      <c r="AY112">
        <v>1</v>
      </c>
      <c r="BC112" s="153">
        <f>SUM(Tabel2[[#This Row],[V 7]]*10+Tabel2[[#This Row],[GT 7]])/Tabel2[[#This Row],[AW 7]]*10+Tabel2[[#This Row],[BONUS 7]]</f>
        <v>0</v>
      </c>
      <c r="BE112">
        <v>1</v>
      </c>
      <c r="BI112" s="153">
        <f>SUM(Tabel2[[#This Row],[V 8]]*10+Tabel2[[#This Row],[GT 8]])/Tabel2[[#This Row],[AW 8]]*10+Tabel2[[#This Row],[BONUS 8]]</f>
        <v>0</v>
      </c>
      <c r="BK112">
        <v>1</v>
      </c>
      <c r="BO112" s="153">
        <f>SUM(Tabel2[[#This Row],[V 9]]*10+Tabel2[[#This Row],[GT 9]])/Tabel2[[#This Row],[AW 9]]*10+Tabel2[[#This Row],[BONUS 9]]</f>
        <v>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2" s="22">
        <v>0</v>
      </c>
      <c r="BX112" s="22">
        <f>Tabel2[[#This Row],[Diploma]]-Tabel2[[#This Row],[Uitgeschreven]]</f>
        <v>0</v>
      </c>
      <c r="BY112" s="155" t="str">
        <f>IF(BX112=0,"geen actie",CONCATENATE("diploma uitschrijven: ",BV112," punten"))</f>
        <v>geen actie</v>
      </c>
      <c r="CA112" s="150">
        <f>Tabel2[[#This Row],[pnt t/m 2021/22]]</f>
        <v>150</v>
      </c>
      <c r="CB112" s="150">
        <f>Tabel2[[#This Row],[pnt 2022/2023]]</f>
        <v>0</v>
      </c>
      <c r="CC112" s="150">
        <f t="shared" si="12"/>
        <v>150</v>
      </c>
      <c r="CD112" s="150">
        <f>IF(Tabel2[[#This Row],[LPR 1]]&gt;0,1,0)</f>
        <v>0</v>
      </c>
      <c r="CE112" s="150">
        <f>IF(Tabel2[[#This Row],[LPR 2]]&gt;0,1,0)</f>
        <v>0</v>
      </c>
      <c r="CF112" s="150">
        <f>IF(Tabel2[[#This Row],[LPR 3]]&gt;0,1,0)</f>
        <v>0</v>
      </c>
      <c r="CG112" s="150">
        <f>IF(Tabel2[[#This Row],[LPR 4]]&gt;0,1,0)</f>
        <v>0</v>
      </c>
      <c r="CH112" s="150">
        <f>IF(Tabel2[[#This Row],[LPR 5]]&gt;0,1,0)</f>
        <v>0</v>
      </c>
      <c r="CI112" s="150">
        <f>IF(Tabel2[[#This Row],[LPR 6]]&gt;0,1,0)</f>
        <v>0</v>
      </c>
      <c r="CJ112" s="150">
        <f>IF(Tabel2[[#This Row],[LPR 7]]&gt;0,1,0)</f>
        <v>0</v>
      </c>
      <c r="CK112" s="150">
        <f>IF(Tabel2[[#This Row],[LPR 8]]&gt;0,1,0)</f>
        <v>0</v>
      </c>
      <c r="CL112" s="150">
        <f>IF(Tabel2[[#This Row],[LPR 9]]&gt;0,1,0)</f>
        <v>0</v>
      </c>
      <c r="CM112" s="150">
        <f>IF(Tabel2[[#This Row],[LPR 10]]&gt;0,1,0)</f>
        <v>0</v>
      </c>
      <c r="CN112" s="150">
        <f>SUM(Tabel7[[#This Row],[sep]:[jun]])</f>
        <v>0</v>
      </c>
      <c r="CO112" s="22" t="str">
        <f t="shared" si="7"/>
        <v/>
      </c>
      <c r="CP112" s="22" t="str">
        <f t="shared" si="8"/>
        <v/>
      </c>
      <c r="CQ112" s="22" t="str">
        <f t="shared" si="9"/>
        <v/>
      </c>
      <c r="CR112" s="22" t="str">
        <f t="shared" si="10"/>
        <v/>
      </c>
      <c r="CS112" s="22" t="str">
        <f t="shared" si="11"/>
        <v/>
      </c>
    </row>
    <row r="113" spans="1:97" x14ac:dyDescent="0.3">
      <c r="A113" s="22" t="s">
        <v>153</v>
      </c>
      <c r="B113" s="22" t="s">
        <v>778</v>
      </c>
      <c r="D113" s="22" t="s">
        <v>137</v>
      </c>
      <c r="E113" t="s">
        <v>273</v>
      </c>
      <c r="F113" s="22">
        <v>120084</v>
      </c>
      <c r="G113" s="25" t="s">
        <v>228</v>
      </c>
      <c r="H113" s="23">
        <f>Tabel2[[#This Row],[pnt t/m 2021/22]]+Tabel2[[#This Row],[pnt 2022/2023]]</f>
        <v>118.57142857142857</v>
      </c>
      <c r="I113">
        <v>2014</v>
      </c>
      <c r="J113">
        <v>2022</v>
      </c>
      <c r="K113" s="24">
        <f>Tabel2[[#This Row],[ijkdatum]]-Tabel2[[#This Row],[Geboren]]</f>
        <v>8</v>
      </c>
      <c r="L113" s="26">
        <f>Tabel2[[#This Row],[TTL 1]]+Tabel2[[#This Row],[TTL 2]]+Tabel2[[#This Row],[TTL 3]]+Tabel2[[#This Row],[TTL 4]]+Tabel2[[#This Row],[TTL 5]]+Tabel2[[#This Row],[TTL 6]]+Tabel2[[#This Row],[TTL 7]]+Tabel2[[#This Row],[TTL 8]]+Tabel2[[#This Row],[TTL 9]]+Tabel2[[#This Row],[TTL 10]]</f>
        <v>0</v>
      </c>
      <c r="M113" s="153">
        <v>118.57142857142857</v>
      </c>
      <c r="O113">
        <v>1</v>
      </c>
      <c r="S113" s="153">
        <f>SUM(Tabel2[[#This Row],[V 1]]*10+Tabel2[[#This Row],[GT 1]])/Tabel2[[#This Row],[AW 1]]*10+Tabel2[[#This Row],[BONUS 1]]</f>
        <v>0</v>
      </c>
      <c r="U113">
        <v>1</v>
      </c>
      <c r="Y113" s="153">
        <f>SUM(Tabel2[[#This Row],[V 2]]*10+Tabel2[[#This Row],[GT 2]])/Tabel2[[#This Row],[AW 2]]*10+Tabel2[[#This Row],[BONUS 2]]</f>
        <v>0</v>
      </c>
      <c r="AA113">
        <v>1</v>
      </c>
      <c r="AE113" s="153">
        <f>SUM(Tabel2[[#This Row],[V 3]]*10+Tabel2[[#This Row],[GT 3]])/Tabel2[[#This Row],[AW 3]]*10+Tabel2[[#This Row],[BONUS 3]]</f>
        <v>0</v>
      </c>
      <c r="AG113">
        <v>1</v>
      </c>
      <c r="AK113" s="153">
        <f>SUM(Tabel2[[#This Row],[V 4]]*10+Tabel2[[#This Row],[GT 4]])/Tabel2[[#This Row],[AW 4]]*10+Tabel2[[#This Row],[BONUS 4]]</f>
        <v>0</v>
      </c>
      <c r="AM113">
        <v>1</v>
      </c>
      <c r="AQ113" s="153">
        <f>SUM(Tabel2[[#This Row],[V 5]]*10+Tabel2[[#This Row],[GT 5]])/Tabel2[[#This Row],[AW 5]]*10+Tabel2[[#This Row],[BONUS 5]]</f>
        <v>0</v>
      </c>
      <c r="AS113">
        <v>1</v>
      </c>
      <c r="AW113" s="153">
        <f>SUM(Tabel2[[#This Row],[V 6]]*10+Tabel2[[#This Row],[GT 6]])/Tabel2[[#This Row],[AW 6]]*10+Tabel2[[#This Row],[BONUS 6]]</f>
        <v>0</v>
      </c>
      <c r="AY113">
        <v>1</v>
      </c>
      <c r="BC113" s="153">
        <f>SUM(Tabel2[[#This Row],[V 7]]*10+Tabel2[[#This Row],[GT 7]])/Tabel2[[#This Row],[AW 7]]*10+Tabel2[[#This Row],[BONUS 7]]</f>
        <v>0</v>
      </c>
      <c r="BE113">
        <v>1</v>
      </c>
      <c r="BI113" s="153">
        <f>SUM(Tabel2[[#This Row],[V 8]]*10+Tabel2[[#This Row],[GT 8]])/Tabel2[[#This Row],[AW 8]]*10+Tabel2[[#This Row],[BONUS 8]]</f>
        <v>0</v>
      </c>
      <c r="BK113">
        <v>1</v>
      </c>
      <c r="BO113" s="153">
        <f>SUM(Tabel2[[#This Row],[V 9]]*10+Tabel2[[#This Row],[GT 9]])/Tabel2[[#This Row],[AW 9]]*10+Tabel2[[#This Row],[BONUS 9]]</f>
        <v>0</v>
      </c>
      <c r="BQ113">
        <v>1</v>
      </c>
      <c r="BU113" s="23">
        <f>SUM(Tabel2[[#This Row],[V 10]]*10+Tabel2[[#This Row],[GT 10]])/Tabel2[[#This Row],[AW 10]]*10+Tabel2[[#This Row],[BONUS 10]]</f>
        <v>0</v>
      </c>
      <c r="BV1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3" s="22">
        <v>0</v>
      </c>
      <c r="BX113" s="22">
        <f>Tabel2[[#This Row],[Diploma]]-Tabel2[[#This Row],[Uitgeschreven]]</f>
        <v>0</v>
      </c>
      <c r="BY113" s="155" t="str">
        <f>IF(BX113=0,"geen actie",CONCATENATE("diploma uitschrijven: ",BV113," punten"))</f>
        <v>geen actie</v>
      </c>
      <c r="CA113" s="150">
        <f>Tabel2[[#This Row],[pnt t/m 2021/22]]</f>
        <v>118.57142857142857</v>
      </c>
      <c r="CB113" s="150">
        <f>Tabel2[[#This Row],[pnt 2022/2023]]</f>
        <v>0</v>
      </c>
      <c r="CC113" s="150">
        <f t="shared" si="12"/>
        <v>118.57142857142857</v>
      </c>
      <c r="CD113" s="150">
        <f>IF(Tabel2[[#This Row],[LPR 1]]&gt;0,1,0)</f>
        <v>0</v>
      </c>
      <c r="CE113" s="150">
        <f>IF(Tabel2[[#This Row],[LPR 2]]&gt;0,1,0)</f>
        <v>0</v>
      </c>
      <c r="CF113" s="150">
        <f>IF(Tabel2[[#This Row],[LPR 3]]&gt;0,1,0)</f>
        <v>0</v>
      </c>
      <c r="CG113" s="150">
        <f>IF(Tabel2[[#This Row],[LPR 4]]&gt;0,1,0)</f>
        <v>0</v>
      </c>
      <c r="CH113" s="150">
        <f>IF(Tabel2[[#This Row],[LPR 5]]&gt;0,1,0)</f>
        <v>0</v>
      </c>
      <c r="CI113" s="150">
        <f>IF(Tabel2[[#This Row],[LPR 6]]&gt;0,1,0)</f>
        <v>0</v>
      </c>
      <c r="CJ113" s="150">
        <f>IF(Tabel2[[#This Row],[LPR 7]]&gt;0,1,0)</f>
        <v>0</v>
      </c>
      <c r="CK113" s="150">
        <f>IF(Tabel2[[#This Row],[LPR 8]]&gt;0,1,0)</f>
        <v>0</v>
      </c>
      <c r="CL113" s="150">
        <f>IF(Tabel2[[#This Row],[LPR 9]]&gt;0,1,0)</f>
        <v>0</v>
      </c>
      <c r="CM113" s="150">
        <f>IF(Tabel2[[#This Row],[LPR 10]]&gt;0,1,0)</f>
        <v>0</v>
      </c>
      <c r="CN113" s="150">
        <f>SUM(Tabel7[[#This Row],[sep]:[jun]])</f>
        <v>0</v>
      </c>
      <c r="CO113" s="22" t="str">
        <f t="shared" si="7"/>
        <v/>
      </c>
      <c r="CP113" s="22" t="str">
        <f t="shared" si="8"/>
        <v/>
      </c>
      <c r="CQ113" s="22" t="str">
        <f t="shared" si="9"/>
        <v/>
      </c>
      <c r="CR113" s="22" t="str">
        <f t="shared" si="10"/>
        <v/>
      </c>
      <c r="CS113" s="22" t="str">
        <f t="shared" si="11"/>
        <v/>
      </c>
    </row>
    <row r="114" spans="1:97" x14ac:dyDescent="0.3">
      <c r="A114" s="22" t="s">
        <v>135</v>
      </c>
      <c r="B114" s="22" t="s">
        <v>778</v>
      </c>
      <c r="D114" s="22" t="s">
        <v>784</v>
      </c>
      <c r="E114" t="s">
        <v>274</v>
      </c>
      <c r="F114" s="22">
        <v>117323</v>
      </c>
      <c r="G114" s="25" t="s">
        <v>369</v>
      </c>
      <c r="H114" s="142">
        <f>Tabel2[[#This Row],[pnt t/m 2021/22]]+Tabel2[[#This Row],[pnt 2022/2023]]</f>
        <v>3083.4906204906188</v>
      </c>
      <c r="I114">
        <v>2010</v>
      </c>
      <c r="J114">
        <v>2022</v>
      </c>
      <c r="K114" s="24">
        <f>Tabel2[[#This Row],[ijkdatum]]-Tabel2[[#This Row],[Geboren]]</f>
        <v>12</v>
      </c>
      <c r="L114" s="26">
        <f>Tabel2[[#This Row],[TTL 1]]+Tabel2[[#This Row],[TTL 2]]+Tabel2[[#This Row],[TTL 3]]+Tabel2[[#This Row],[TTL 4]]+Tabel2[[#This Row],[TTL 5]]+Tabel2[[#This Row],[TTL 6]]+Tabel2[[#This Row],[TTL 7]]+Tabel2[[#This Row],[TTL 8]]+Tabel2[[#This Row],[TTL 9]]+Tabel2[[#This Row],[TTL 10]]</f>
        <v>270</v>
      </c>
      <c r="M114" s="141">
        <v>2813.4906204906188</v>
      </c>
      <c r="N114">
        <v>2</v>
      </c>
      <c r="O114">
        <v>6</v>
      </c>
      <c r="P114">
        <v>6</v>
      </c>
      <c r="Q114">
        <v>27</v>
      </c>
      <c r="S114" s="23">
        <f>SUM(Tabel2[[#This Row],[V 1]]*10+Tabel2[[#This Row],[GT 1]])/Tabel2[[#This Row],[AW 1]]*10+Tabel2[[#This Row],[BONUS 1]]</f>
        <v>145</v>
      </c>
      <c r="T114">
        <v>1</v>
      </c>
      <c r="U114">
        <v>1</v>
      </c>
      <c r="X114">
        <v>125</v>
      </c>
      <c r="Y114" s="23">
        <f>SUM(Tabel2[[#This Row],[V 2]]*10+Tabel2[[#This Row],[GT 2]])/Tabel2[[#This Row],[AW 2]]*10+Tabel2[[#This Row],[BONUS 2]]</f>
        <v>125</v>
      </c>
      <c r="AA114">
        <v>1</v>
      </c>
      <c r="AE114" s="23">
        <f>SUM(Tabel2[[#This Row],[V 3]]*10+Tabel2[[#This Row],[GT 3]])/Tabel2[[#This Row],[AW 3]]*10+Tabel2[[#This Row],[BONUS 3]]</f>
        <v>0</v>
      </c>
      <c r="AG114">
        <v>1</v>
      </c>
      <c r="AK114" s="23">
        <f>SUM(Tabel2[[#This Row],[V 4]]*10+Tabel2[[#This Row],[GT 4]])/Tabel2[[#This Row],[AW 4]]*10+Tabel2[[#This Row],[BONUS 4]]</f>
        <v>0</v>
      </c>
      <c r="AM114">
        <v>1</v>
      </c>
      <c r="AQ114" s="23">
        <f>SUM(Tabel2[[#This Row],[V 5]]*10+Tabel2[[#This Row],[GT 5]])/Tabel2[[#This Row],[AW 5]]*10+Tabel2[[#This Row],[BONUS 5]]</f>
        <v>0</v>
      </c>
      <c r="AS114">
        <v>1</v>
      </c>
      <c r="AW114" s="23">
        <f>SUM(Tabel2[[#This Row],[V 6]]*10+Tabel2[[#This Row],[GT 6]])/Tabel2[[#This Row],[AW 6]]*10+Tabel2[[#This Row],[BONUS 6]]</f>
        <v>0</v>
      </c>
      <c r="AY114">
        <v>1</v>
      </c>
      <c r="BC114" s="23">
        <f>SUM(Tabel2[[#This Row],[V 7]]*10+Tabel2[[#This Row],[GT 7]])/Tabel2[[#This Row],[AW 7]]*10+Tabel2[[#This Row],[BONUS 7]]</f>
        <v>0</v>
      </c>
      <c r="BE114">
        <v>1</v>
      </c>
      <c r="BI114" s="23">
        <f>SUM(Tabel2[[#This Row],[V 8]]*10+Tabel2[[#This Row],[GT 8]])/Tabel2[[#This Row],[AW 8]]*10+Tabel2[[#This Row],[BONUS 8]]</f>
        <v>0</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14" s="22">
        <v>2500</v>
      </c>
      <c r="BX114" s="30">
        <f>Tabel2[[#This Row],[Diploma]]-Tabel2[[#This Row],[Uitgeschreven]]</f>
        <v>500</v>
      </c>
      <c r="BY114" s="2" t="str">
        <f>IF(BX114=0,"geen actie",CONCATENATE("diploma uitschrijven: ",BV114," punten"))</f>
        <v>diploma uitschrijven: 3000 punten</v>
      </c>
      <c r="CA114" s="150">
        <f>Tabel2[[#This Row],[pnt t/m 2021/22]]</f>
        <v>2813.4906204906188</v>
      </c>
      <c r="CB114" s="150">
        <f>Tabel2[[#This Row],[pnt 2022/2023]]</f>
        <v>270</v>
      </c>
      <c r="CC114" s="150">
        <f t="shared" si="12"/>
        <v>3083.4906204906188</v>
      </c>
      <c r="CD114" s="150">
        <f>IF(Tabel2[[#This Row],[LPR 1]]&gt;0,1,0)</f>
        <v>1</v>
      </c>
      <c r="CE114" s="150">
        <f>IF(Tabel2[[#This Row],[LPR 2]]&gt;0,1,0)</f>
        <v>1</v>
      </c>
      <c r="CF114" s="150">
        <f>IF(Tabel2[[#This Row],[LPR 3]]&gt;0,1,0)</f>
        <v>0</v>
      </c>
      <c r="CG114" s="150">
        <f>IF(Tabel2[[#This Row],[LPR 4]]&gt;0,1,0)</f>
        <v>0</v>
      </c>
      <c r="CH114" s="150">
        <f>IF(Tabel2[[#This Row],[LPR 5]]&gt;0,1,0)</f>
        <v>0</v>
      </c>
      <c r="CI114" s="150">
        <f>IF(Tabel2[[#This Row],[LPR 6]]&gt;0,1,0)</f>
        <v>0</v>
      </c>
      <c r="CJ114" s="150">
        <f>IF(Tabel2[[#This Row],[LPR 7]]&gt;0,1,0)</f>
        <v>0</v>
      </c>
      <c r="CK114" s="150">
        <f>IF(Tabel2[[#This Row],[LPR 8]]&gt;0,1,0)</f>
        <v>0</v>
      </c>
      <c r="CL114" s="150">
        <f>IF(Tabel2[[#This Row],[LPR 9]]&gt;0,1,0)</f>
        <v>0</v>
      </c>
      <c r="CM114" s="150">
        <f>IF(Tabel2[[#This Row],[LPR 10]]&gt;0,1,0)</f>
        <v>0</v>
      </c>
      <c r="CN114" s="150">
        <f>SUM(Tabel7[[#This Row],[sep]:[jun]])</f>
        <v>2</v>
      </c>
      <c r="CO114" s="22" t="str">
        <f t="shared" si="7"/>
        <v/>
      </c>
      <c r="CP114" s="22" t="str">
        <f t="shared" si="8"/>
        <v/>
      </c>
      <c r="CQ114" s="22" t="str">
        <f t="shared" si="9"/>
        <v/>
      </c>
      <c r="CR114" s="22" t="str">
        <f t="shared" si="10"/>
        <v/>
      </c>
      <c r="CS114" s="22" t="str">
        <f t="shared" si="11"/>
        <v>x</v>
      </c>
    </row>
    <row r="115" spans="1:97" x14ac:dyDescent="0.3">
      <c r="A115" s="22" t="s">
        <v>135</v>
      </c>
      <c r="B115" s="22" t="s">
        <v>778</v>
      </c>
      <c r="D115" s="22" t="s">
        <v>137</v>
      </c>
      <c r="E115" t="s">
        <v>276</v>
      </c>
      <c r="F115" s="22">
        <v>119721</v>
      </c>
      <c r="G115" s="25" t="s">
        <v>139</v>
      </c>
      <c r="H115" s="142">
        <f>Tabel2[[#This Row],[pnt t/m 2021/22]]+Tabel2[[#This Row],[pnt 2022/2023]]</f>
        <v>255.23809523809524</v>
      </c>
      <c r="I115">
        <v>2011</v>
      </c>
      <c r="J115">
        <v>2022</v>
      </c>
      <c r="K115" s="24">
        <f>Tabel2[[#This Row],[ijkdatum]]-Tabel2[[#This Row],[Geboren]]</f>
        <v>11</v>
      </c>
      <c r="L115" s="26">
        <f>Tabel2[[#This Row],[TTL 1]]+Tabel2[[#This Row],[TTL 2]]+Tabel2[[#This Row],[TTL 3]]+Tabel2[[#This Row],[TTL 4]]+Tabel2[[#This Row],[TTL 5]]+Tabel2[[#This Row],[TTL 6]]+Tabel2[[#This Row],[TTL 7]]+Tabel2[[#This Row],[TTL 8]]+Tabel2[[#This Row],[TTL 9]]+Tabel2[[#This Row],[TTL 10]]</f>
        <v>0</v>
      </c>
      <c r="M115" s="141">
        <v>255.23809523809524</v>
      </c>
      <c r="O115">
        <v>1</v>
      </c>
      <c r="S115" s="23">
        <f>SUM(Tabel2[[#This Row],[V 1]]*10+Tabel2[[#This Row],[GT 1]])/Tabel2[[#This Row],[AW 1]]*10+Tabel2[[#This Row],[BONUS 1]]</f>
        <v>0</v>
      </c>
      <c r="U115">
        <v>1</v>
      </c>
      <c r="Y115" s="23">
        <f>SUM(Tabel2[[#This Row],[V 2]]*10+Tabel2[[#This Row],[GT 2]])/Tabel2[[#This Row],[AW 2]]*10+Tabel2[[#This Row],[BONUS 2]]</f>
        <v>0</v>
      </c>
      <c r="AA115">
        <v>1</v>
      </c>
      <c r="AE115" s="23">
        <f>SUM(Tabel2[[#This Row],[V 3]]*10+Tabel2[[#This Row],[GT 3]])/Tabel2[[#This Row],[AW 3]]*10+Tabel2[[#This Row],[BONUS 3]]</f>
        <v>0</v>
      </c>
      <c r="AG115">
        <v>1</v>
      </c>
      <c r="AK115" s="23">
        <f>SUM(Tabel2[[#This Row],[V 4]]*10+Tabel2[[#This Row],[GT 4]])/Tabel2[[#This Row],[AW 4]]*10+Tabel2[[#This Row],[BONUS 4]]</f>
        <v>0</v>
      </c>
      <c r="AM115">
        <v>1</v>
      </c>
      <c r="AQ115" s="23">
        <f>SUM(Tabel2[[#This Row],[V 5]]*10+Tabel2[[#This Row],[GT 5]])/Tabel2[[#This Row],[AW 5]]*10+Tabel2[[#This Row],[BONUS 5]]</f>
        <v>0</v>
      </c>
      <c r="AS115">
        <v>1</v>
      </c>
      <c r="AW115" s="23">
        <f>SUM(Tabel2[[#This Row],[V 6]]*10+Tabel2[[#This Row],[GT 6]])/Tabel2[[#This Row],[AW 6]]*10+Tabel2[[#This Row],[BONUS 6]]</f>
        <v>0</v>
      </c>
      <c r="AY115">
        <v>1</v>
      </c>
      <c r="BC115" s="23">
        <f>SUM(Tabel2[[#This Row],[V 7]]*10+Tabel2[[#This Row],[GT 7]])/Tabel2[[#This Row],[AW 7]]*10+Tabel2[[#This Row],[BONUS 7]]</f>
        <v>0</v>
      </c>
      <c r="BE115">
        <v>1</v>
      </c>
      <c r="BI115" s="23">
        <f>SUM(Tabel2[[#This Row],[V 8]]*10+Tabel2[[#This Row],[GT 8]])/Tabel2[[#This Row],[AW 8]]*10+Tabel2[[#This Row],[BONUS 8]]</f>
        <v>0</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5" s="22">
        <v>250</v>
      </c>
      <c r="BX115" s="30">
        <f>Tabel2[[#This Row],[Diploma]]-Tabel2[[#This Row],[Uitgeschreven]]</f>
        <v>0</v>
      </c>
      <c r="BY115" s="2" t="str">
        <f>IF(BX115=0,"geen actie",CONCATENATE("diploma uitschrijven: ",BV115," punten"))</f>
        <v>geen actie</v>
      </c>
      <c r="CA115" s="150">
        <f>Tabel2[[#This Row],[pnt t/m 2021/22]]</f>
        <v>255.23809523809524</v>
      </c>
      <c r="CB115" s="150">
        <f>Tabel2[[#This Row],[pnt 2022/2023]]</f>
        <v>0</v>
      </c>
      <c r="CC115" s="150">
        <f t="shared" si="12"/>
        <v>255.23809523809524</v>
      </c>
      <c r="CD115" s="150">
        <f>IF(Tabel2[[#This Row],[LPR 1]]&gt;0,1,0)</f>
        <v>0</v>
      </c>
      <c r="CE115" s="150">
        <f>IF(Tabel2[[#This Row],[LPR 2]]&gt;0,1,0)</f>
        <v>0</v>
      </c>
      <c r="CF115" s="150">
        <f>IF(Tabel2[[#This Row],[LPR 3]]&gt;0,1,0)</f>
        <v>0</v>
      </c>
      <c r="CG115" s="150">
        <f>IF(Tabel2[[#This Row],[LPR 4]]&gt;0,1,0)</f>
        <v>0</v>
      </c>
      <c r="CH115" s="150">
        <f>IF(Tabel2[[#This Row],[LPR 5]]&gt;0,1,0)</f>
        <v>0</v>
      </c>
      <c r="CI115" s="150">
        <f>IF(Tabel2[[#This Row],[LPR 6]]&gt;0,1,0)</f>
        <v>0</v>
      </c>
      <c r="CJ115" s="150">
        <f>IF(Tabel2[[#This Row],[LPR 7]]&gt;0,1,0)</f>
        <v>0</v>
      </c>
      <c r="CK115" s="150">
        <f>IF(Tabel2[[#This Row],[LPR 8]]&gt;0,1,0)</f>
        <v>0</v>
      </c>
      <c r="CL115" s="150">
        <f>IF(Tabel2[[#This Row],[LPR 9]]&gt;0,1,0)</f>
        <v>0</v>
      </c>
      <c r="CM115" s="150">
        <f>IF(Tabel2[[#This Row],[LPR 10]]&gt;0,1,0)</f>
        <v>0</v>
      </c>
      <c r="CN115" s="150">
        <f>SUM(Tabel7[[#This Row],[sep]:[jun]])</f>
        <v>0</v>
      </c>
      <c r="CO115" s="22" t="str">
        <f t="shared" si="7"/>
        <v/>
      </c>
      <c r="CP115" s="22" t="str">
        <f t="shared" si="8"/>
        <v/>
      </c>
      <c r="CQ115" s="22" t="str">
        <f t="shared" si="9"/>
        <v/>
      </c>
      <c r="CR115" s="22" t="str">
        <f t="shared" si="10"/>
        <v/>
      </c>
      <c r="CS115" s="22" t="str">
        <f t="shared" si="11"/>
        <v/>
      </c>
    </row>
    <row r="116" spans="1:97" x14ac:dyDescent="0.3">
      <c r="A116" s="22" t="s">
        <v>153</v>
      </c>
      <c r="B116" s="22" t="s">
        <v>778</v>
      </c>
      <c r="D116" s="22" t="s">
        <v>137</v>
      </c>
      <c r="E116" t="s">
        <v>277</v>
      </c>
      <c r="F116" s="22">
        <v>119697</v>
      </c>
      <c r="G116" s="25" t="s">
        <v>228</v>
      </c>
      <c r="H116" s="142">
        <f>Tabel2[[#This Row],[pnt t/m 2021/22]]+Tabel2[[#This Row],[pnt 2022/2023]]</f>
        <v>173</v>
      </c>
      <c r="I116">
        <v>2013</v>
      </c>
      <c r="J116">
        <v>2022</v>
      </c>
      <c r="K116" s="24">
        <f>Tabel2[[#This Row],[ijkdatum]]-Tabel2[[#This Row],[Geboren]]</f>
        <v>9</v>
      </c>
      <c r="L116" s="26">
        <v>173</v>
      </c>
      <c r="M116" s="153">
        <v>0</v>
      </c>
      <c r="O116">
        <v>1</v>
      </c>
      <c r="S116" s="153">
        <f>SUM(Tabel2[[#This Row],[V 1]]*10+Tabel2[[#This Row],[GT 1]])/Tabel2[[#This Row],[AW 1]]*10+Tabel2[[#This Row],[BONUS 1]]</f>
        <v>0</v>
      </c>
      <c r="T116">
        <v>3</v>
      </c>
      <c r="U116">
        <v>10</v>
      </c>
      <c r="V116">
        <v>5</v>
      </c>
      <c r="W116">
        <v>33</v>
      </c>
      <c r="Y116" s="153">
        <f>SUM(Tabel2[[#This Row],[V 2]]*10+Tabel2[[#This Row],[GT 2]])/Tabel2[[#This Row],[AW 2]]*10+Tabel2[[#This Row],[BONUS 2]]</f>
        <v>83</v>
      </c>
      <c r="AA116">
        <v>1</v>
      </c>
      <c r="AE116" s="153">
        <f>SUM(Tabel2[[#This Row],[V 3]]*10+Tabel2[[#This Row],[GT 3]])/Tabel2[[#This Row],[AW 3]]*10+Tabel2[[#This Row],[BONUS 3]]</f>
        <v>0</v>
      </c>
      <c r="AG116">
        <v>1</v>
      </c>
      <c r="AK116" s="153">
        <f>SUM(Tabel2[[#This Row],[V 4]]*10+Tabel2[[#This Row],[GT 4]])/Tabel2[[#This Row],[AW 4]]*10+Tabel2[[#This Row],[BONUS 4]]</f>
        <v>0</v>
      </c>
      <c r="AM116">
        <v>1</v>
      </c>
      <c r="AQ116" s="153">
        <f>SUM(Tabel2[[#This Row],[V 5]]*10+Tabel2[[#This Row],[GT 5]])/Tabel2[[#This Row],[AW 5]]*10+Tabel2[[#This Row],[BONUS 5]]</f>
        <v>0</v>
      </c>
      <c r="AS116">
        <v>1</v>
      </c>
      <c r="AW116" s="153">
        <f>SUM(Tabel2[[#This Row],[V 6]]*10+Tabel2[[#This Row],[GT 6]])/Tabel2[[#This Row],[AW 6]]*10+Tabel2[[#This Row],[BONUS 6]]</f>
        <v>0</v>
      </c>
      <c r="AY116">
        <v>1</v>
      </c>
      <c r="BC116" s="23">
        <f>SUM(Tabel2[[#This Row],[V 7]]*10+Tabel2[[#This Row],[GT 7]])/Tabel2[[#This Row],[AW 7]]*10+Tabel2[[#This Row],[BONUS 7]]</f>
        <v>0</v>
      </c>
      <c r="BE116">
        <v>1</v>
      </c>
      <c r="BI116" s="153">
        <f>SUM(Tabel2[[#This Row],[V 8]]*10+Tabel2[[#This Row],[GT 8]])/Tabel2[[#This Row],[AW 8]]*10+Tabel2[[#This Row],[BONUS 8]]</f>
        <v>0</v>
      </c>
      <c r="BK116">
        <v>1</v>
      </c>
      <c r="BO116" s="153">
        <f>SUM(Tabel2[[#This Row],[V 9]]*10+Tabel2[[#This Row],[GT 9]])/Tabel2[[#This Row],[AW 9]]*10+Tabel2[[#This Row],[BONUS 9]]</f>
        <v>0</v>
      </c>
      <c r="BQ116">
        <v>1</v>
      </c>
      <c r="BU116" s="23">
        <f>SUM(Tabel2[[#This Row],[V 10]]*10+Tabel2[[#This Row],[GT 10]])/Tabel2[[#This Row],[AW 10]]*10+Tabel2[[#This Row],[BONUS 10]]</f>
        <v>0</v>
      </c>
      <c r="BV11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6" s="22">
        <v>0</v>
      </c>
      <c r="BX116" s="22">
        <f>Tabel2[[#This Row],[Diploma]]-Tabel2[[#This Row],[Uitgeschreven]]</f>
        <v>0</v>
      </c>
      <c r="BY116" s="155" t="str">
        <f>IF(BX116=0,"geen actie",CONCATENATE("diploma uitschrijven: ",BV116," punten"))</f>
        <v>geen actie</v>
      </c>
      <c r="CA116" s="150">
        <f>Tabel2[[#This Row],[pnt t/m 2021/22]]</f>
        <v>0</v>
      </c>
      <c r="CB116" s="150">
        <f>Tabel2[[#This Row],[pnt 2022/2023]]</f>
        <v>173</v>
      </c>
      <c r="CC116" s="150">
        <f t="shared" si="12"/>
        <v>173</v>
      </c>
      <c r="CD116" s="150">
        <f>IF(Tabel2[[#This Row],[LPR 1]]&gt;0,1,0)</f>
        <v>0</v>
      </c>
      <c r="CE116" s="150">
        <f>IF(Tabel2[[#This Row],[LPR 2]]&gt;0,1,0)</f>
        <v>1</v>
      </c>
      <c r="CF116" s="150">
        <f>IF(Tabel2[[#This Row],[LPR 3]]&gt;0,1,0)</f>
        <v>0</v>
      </c>
      <c r="CG116" s="150">
        <f>IF(Tabel2[[#This Row],[LPR 4]]&gt;0,1,0)</f>
        <v>0</v>
      </c>
      <c r="CH116" s="150">
        <f>IF(Tabel2[[#This Row],[LPR 5]]&gt;0,1,0)</f>
        <v>0</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1</v>
      </c>
      <c r="CO116" s="22" t="str">
        <f t="shared" si="7"/>
        <v/>
      </c>
      <c r="CP116" s="22" t="str">
        <f t="shared" si="8"/>
        <v/>
      </c>
      <c r="CQ116" s="22" t="str">
        <f t="shared" si="9"/>
        <v/>
      </c>
      <c r="CR116" s="22" t="str">
        <f t="shared" si="10"/>
        <v/>
      </c>
      <c r="CS116" s="22" t="str">
        <f t="shared" si="11"/>
        <v/>
      </c>
    </row>
    <row r="117" spans="1:97" x14ac:dyDescent="0.3">
      <c r="A117" s="22" t="s">
        <v>143</v>
      </c>
      <c r="B117" s="22" t="s">
        <v>778</v>
      </c>
      <c r="D117" s="22" t="s">
        <v>783</v>
      </c>
      <c r="E117" t="s">
        <v>278</v>
      </c>
      <c r="F117" s="22">
        <v>118246</v>
      </c>
      <c r="G117" s="25" t="s">
        <v>147</v>
      </c>
      <c r="H117" s="142">
        <f>Tabel2[[#This Row],[pnt t/m 2021/22]]+Tabel2[[#This Row],[pnt 2022/2023]]</f>
        <v>2229.3055555555557</v>
      </c>
      <c r="I117">
        <v>2008</v>
      </c>
      <c r="J117">
        <v>2022</v>
      </c>
      <c r="K117" s="24">
        <f>Tabel2[[#This Row],[ijkdatum]]-Tabel2[[#This Row],[Geboren]]</f>
        <v>14</v>
      </c>
      <c r="L117" s="26">
        <f>Tabel2[[#This Row],[TTL 1]]+Tabel2[[#This Row],[TTL 2]]+Tabel2[[#This Row],[TTL 3]]+Tabel2[[#This Row],[TTL 4]]+Tabel2[[#This Row],[TTL 5]]+Tabel2[[#This Row],[TTL 6]]+Tabel2[[#This Row],[TTL 7]]+Tabel2[[#This Row],[TTL 8]]+Tabel2[[#This Row],[TTL 9]]+Tabel2[[#This Row],[TTL 10]]</f>
        <v>210.41666666666666</v>
      </c>
      <c r="M117" s="153">
        <v>2018.8888888888889</v>
      </c>
      <c r="N117">
        <v>5</v>
      </c>
      <c r="O117">
        <v>8</v>
      </c>
      <c r="P117">
        <v>5</v>
      </c>
      <c r="Q117">
        <v>33</v>
      </c>
      <c r="S117" s="23">
        <f>SUM(Tabel2[[#This Row],[V 1]]*10+Tabel2[[#This Row],[GT 1]])/Tabel2[[#This Row],[AW 1]]*10+Tabel2[[#This Row],[BONUS 1]]</f>
        <v>103.75</v>
      </c>
      <c r="T117">
        <v>4</v>
      </c>
      <c r="U117">
        <v>12</v>
      </c>
      <c r="V117">
        <v>8</v>
      </c>
      <c r="W117">
        <v>48</v>
      </c>
      <c r="Y117" s="23">
        <f>SUM(Tabel2[[#This Row],[V 2]]*10+Tabel2[[#This Row],[GT 2]])/Tabel2[[#This Row],[AW 2]]*10+Tabel2[[#This Row],[BONUS 2]]</f>
        <v>106.66666666666666</v>
      </c>
      <c r="AA117">
        <v>1</v>
      </c>
      <c r="AE117" s="23">
        <f>SUM(Tabel2[[#This Row],[V 3]]*10+Tabel2[[#This Row],[GT 3]])/Tabel2[[#This Row],[AW 3]]*10+Tabel2[[#This Row],[BONUS 3]]</f>
        <v>0</v>
      </c>
      <c r="AG117">
        <v>1</v>
      </c>
      <c r="AK117" s="23">
        <f>SUM(Tabel2[[#This Row],[V 4]]*10+Tabel2[[#This Row],[GT 4]])/Tabel2[[#This Row],[AW 4]]*10+Tabel2[[#This Row],[BONUS 4]]</f>
        <v>0</v>
      </c>
      <c r="AM117">
        <v>1</v>
      </c>
      <c r="AQ117" s="23">
        <f>SUM(Tabel2[[#This Row],[V 5]]*10+Tabel2[[#This Row],[GT 5]])/Tabel2[[#This Row],[AW 5]]*10+Tabel2[[#This Row],[BONUS 5]]</f>
        <v>0</v>
      </c>
      <c r="AS117">
        <v>1</v>
      </c>
      <c r="AW117" s="23">
        <f>SUM(Tabel2[[#This Row],[V 6]]*10+Tabel2[[#This Row],[GT 6]])/Tabel2[[#This Row],[AW 6]]*10+Tabel2[[#This Row],[BONUS 6]]</f>
        <v>0</v>
      </c>
      <c r="AY117">
        <v>1</v>
      </c>
      <c r="BC117" s="23">
        <f>SUM(Tabel2[[#This Row],[V 7]]*10+Tabel2[[#This Row],[GT 7]])/Tabel2[[#This Row],[AW 7]]*10+Tabel2[[#This Row],[BONUS 7]]</f>
        <v>0</v>
      </c>
      <c r="BE117">
        <v>1</v>
      </c>
      <c r="BI117" s="23">
        <f>SUM(Tabel2[[#This Row],[V 8]]*10+Tabel2[[#This Row],[GT 8]])/Tabel2[[#This Row],[AW 8]]*10+Tabel2[[#This Row],[BONUS 8]]</f>
        <v>0</v>
      </c>
      <c r="BK117">
        <v>1</v>
      </c>
      <c r="BO117" s="2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17" s="22">
        <v>2000</v>
      </c>
      <c r="BX117" s="30">
        <f>Tabel2[[#This Row],[Diploma]]-Tabel2[[#This Row],[Uitgeschreven]]</f>
        <v>0</v>
      </c>
      <c r="BY117" s="2" t="str">
        <f>IF(BX117=0,"geen actie",CONCATENATE("diploma uitschrijven: ",BV117," punten"))</f>
        <v>geen actie</v>
      </c>
      <c r="CA117" s="150">
        <f>Tabel2[[#This Row],[pnt t/m 2021/22]]</f>
        <v>2018.8888888888889</v>
      </c>
      <c r="CB117" s="150">
        <f>Tabel2[[#This Row],[pnt 2022/2023]]</f>
        <v>210.41666666666666</v>
      </c>
      <c r="CC117" s="150">
        <f t="shared" si="12"/>
        <v>2229.3055555555557</v>
      </c>
      <c r="CD117" s="150">
        <f>IF(Tabel2[[#This Row],[LPR 1]]&gt;0,1,0)</f>
        <v>1</v>
      </c>
      <c r="CE117" s="150">
        <f>IF(Tabel2[[#This Row],[LPR 2]]&gt;0,1,0)</f>
        <v>1</v>
      </c>
      <c r="CF117" s="150">
        <f>IF(Tabel2[[#This Row],[LPR 3]]&gt;0,1,0)</f>
        <v>0</v>
      </c>
      <c r="CG117" s="150">
        <f>IF(Tabel2[[#This Row],[LPR 4]]&gt;0,1,0)</f>
        <v>0</v>
      </c>
      <c r="CH117" s="150">
        <f>IF(Tabel2[[#This Row],[LPR 5]]&gt;0,1,0)</f>
        <v>0</v>
      </c>
      <c r="CI117" s="150">
        <f>IF(Tabel2[[#This Row],[LPR 6]]&gt;0,1,0)</f>
        <v>0</v>
      </c>
      <c r="CJ117" s="150">
        <f>IF(Tabel2[[#This Row],[LPR 7]]&gt;0,1,0)</f>
        <v>0</v>
      </c>
      <c r="CK117" s="150">
        <f>IF(Tabel2[[#This Row],[LPR 8]]&gt;0,1,0)</f>
        <v>0</v>
      </c>
      <c r="CL117" s="150">
        <f>IF(Tabel2[[#This Row],[LPR 9]]&gt;0,1,0)</f>
        <v>0</v>
      </c>
      <c r="CM117" s="150">
        <f>IF(Tabel2[[#This Row],[LPR 10]]&gt;0,1,0)</f>
        <v>0</v>
      </c>
      <c r="CN117" s="150">
        <f>SUM(Tabel7[[#This Row],[sep]:[jun]])</f>
        <v>2</v>
      </c>
      <c r="CO117" s="22" t="str">
        <f t="shared" si="7"/>
        <v/>
      </c>
      <c r="CP117" s="22" t="str">
        <f t="shared" si="8"/>
        <v/>
      </c>
      <c r="CQ117" s="22" t="str">
        <f t="shared" si="9"/>
        <v/>
      </c>
      <c r="CR117" s="22" t="str">
        <f t="shared" si="10"/>
        <v/>
      </c>
      <c r="CS117" s="22" t="str">
        <f t="shared" si="11"/>
        <v/>
      </c>
    </row>
    <row r="118" spans="1:97" x14ac:dyDescent="0.3">
      <c r="A118" s="22" t="s">
        <v>145</v>
      </c>
      <c r="B118" s="22" t="s">
        <v>778</v>
      </c>
      <c r="D118" s="22" t="s">
        <v>137</v>
      </c>
      <c r="E118" t="s">
        <v>279</v>
      </c>
      <c r="F118" s="22">
        <v>119424</v>
      </c>
      <c r="G118" s="25" t="s">
        <v>185</v>
      </c>
      <c r="H118" s="142">
        <f>Tabel2[[#This Row],[pnt t/m 2021/22]]+Tabel2[[#This Row],[pnt 2022/2023]]</f>
        <v>946.37644300144302</v>
      </c>
      <c r="I118">
        <v>2008</v>
      </c>
      <c r="J118">
        <v>2022</v>
      </c>
      <c r="K118" s="24">
        <f>Tabel2[[#This Row],[ijkdatum]]-Tabel2[[#This Row],[Geboren]]</f>
        <v>14</v>
      </c>
      <c r="L118" s="26">
        <f>Tabel2[[#This Row],[TTL 1]]+Tabel2[[#This Row],[TTL 2]]+Tabel2[[#This Row],[TTL 3]]+Tabel2[[#This Row],[TTL 4]]+Tabel2[[#This Row],[TTL 5]]+Tabel2[[#This Row],[TTL 6]]+Tabel2[[#This Row],[TTL 7]]+Tabel2[[#This Row],[TTL 8]]+Tabel2[[#This Row],[TTL 9]]+Tabel2[[#This Row],[TTL 10]]</f>
        <v>0</v>
      </c>
      <c r="M118" s="141">
        <v>946.37644300144302</v>
      </c>
      <c r="O118">
        <v>1</v>
      </c>
      <c r="S118" s="23">
        <f>SUM(Tabel2[[#This Row],[V 1]]*10+Tabel2[[#This Row],[GT 1]])/Tabel2[[#This Row],[AW 1]]*10+Tabel2[[#This Row],[BONUS 1]]</f>
        <v>0</v>
      </c>
      <c r="U118">
        <v>1</v>
      </c>
      <c r="Y118" s="23">
        <f>SUM(Tabel2[[#This Row],[V 2]]*10+Tabel2[[#This Row],[GT 2]])/Tabel2[[#This Row],[AW 2]]*10+Tabel2[[#This Row],[BONUS 2]]</f>
        <v>0</v>
      </c>
      <c r="AA118">
        <v>1</v>
      </c>
      <c r="AE118" s="23">
        <f>SUM(Tabel2[[#This Row],[V 3]]*10+Tabel2[[#This Row],[GT 3]])/Tabel2[[#This Row],[AW 3]]*10+Tabel2[[#This Row],[BONUS 3]]</f>
        <v>0</v>
      </c>
      <c r="AG118">
        <v>1</v>
      </c>
      <c r="AK118" s="23">
        <f>SUM(Tabel2[[#This Row],[V 4]]*10+Tabel2[[#This Row],[GT 4]])/Tabel2[[#This Row],[AW 4]]*10+Tabel2[[#This Row],[BONUS 4]]</f>
        <v>0</v>
      </c>
      <c r="AM118">
        <v>1</v>
      </c>
      <c r="AQ118" s="23">
        <f>SUM(Tabel2[[#This Row],[V 5]]*10+Tabel2[[#This Row],[GT 5]])/Tabel2[[#This Row],[AW 5]]*10+Tabel2[[#This Row],[BONUS 5]]</f>
        <v>0</v>
      </c>
      <c r="AS118">
        <v>1</v>
      </c>
      <c r="AW118" s="23">
        <f>SUM(Tabel2[[#This Row],[V 6]]*10+Tabel2[[#This Row],[GT 6]])/Tabel2[[#This Row],[AW 6]]*10+Tabel2[[#This Row],[BONUS 6]]</f>
        <v>0</v>
      </c>
      <c r="AY118">
        <v>1</v>
      </c>
      <c r="BC118" s="23">
        <f>SUM(Tabel2[[#This Row],[V 7]]*10+Tabel2[[#This Row],[GT 7]])/Tabel2[[#This Row],[AW 7]]*10+Tabel2[[#This Row],[BONUS 7]]</f>
        <v>0</v>
      </c>
      <c r="BE118">
        <v>1</v>
      </c>
      <c r="BI118" s="23">
        <f>SUM(Tabel2[[#This Row],[V 8]]*10+Tabel2[[#This Row],[GT 8]])/Tabel2[[#This Row],[AW 8]]*10+Tabel2[[#This Row],[BONUS 8]]</f>
        <v>0</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8" s="22">
        <v>750</v>
      </c>
      <c r="BX118" s="30">
        <f>Tabel2[[#This Row],[Diploma]]-Tabel2[[#This Row],[Uitgeschreven]]</f>
        <v>0</v>
      </c>
      <c r="BY118" s="2" t="str">
        <f>IF(BX118=0,"geen actie",CONCATENATE("diploma uitschrijven: ",BV118," punten"))</f>
        <v>geen actie</v>
      </c>
      <c r="CA118" s="150">
        <f>Tabel2[[#This Row],[pnt t/m 2021/22]]</f>
        <v>946.37644300144302</v>
      </c>
      <c r="CB118" s="150">
        <f>Tabel2[[#This Row],[pnt 2022/2023]]</f>
        <v>0</v>
      </c>
      <c r="CC118" s="150">
        <f t="shared" si="12"/>
        <v>946.37644300144302</v>
      </c>
      <c r="CD118" s="150">
        <f>IF(Tabel2[[#This Row],[LPR 1]]&gt;0,1,0)</f>
        <v>0</v>
      </c>
      <c r="CE118" s="150">
        <f>IF(Tabel2[[#This Row],[LPR 2]]&gt;0,1,0)</f>
        <v>0</v>
      </c>
      <c r="CF118" s="150">
        <f>IF(Tabel2[[#This Row],[LPR 3]]&gt;0,1,0)</f>
        <v>0</v>
      </c>
      <c r="CG118" s="150">
        <f>IF(Tabel2[[#This Row],[LPR 4]]&gt;0,1,0)</f>
        <v>0</v>
      </c>
      <c r="CH118" s="150">
        <f>IF(Tabel2[[#This Row],[LPR 5]]&gt;0,1,0)</f>
        <v>0</v>
      </c>
      <c r="CI118" s="150">
        <f>IF(Tabel2[[#This Row],[LPR 6]]&gt;0,1,0)</f>
        <v>0</v>
      </c>
      <c r="CJ118" s="150">
        <f>IF(Tabel2[[#This Row],[LPR 7]]&gt;0,1,0)</f>
        <v>0</v>
      </c>
      <c r="CK118" s="150">
        <f>IF(Tabel2[[#This Row],[LPR 8]]&gt;0,1,0)</f>
        <v>0</v>
      </c>
      <c r="CL118" s="150">
        <f>IF(Tabel2[[#This Row],[LPR 9]]&gt;0,1,0)</f>
        <v>0</v>
      </c>
      <c r="CM118" s="150">
        <f>IF(Tabel2[[#This Row],[LPR 10]]&gt;0,1,0)</f>
        <v>0</v>
      </c>
      <c r="CN118" s="150">
        <f>SUM(Tabel7[[#This Row],[sep]:[jun]])</f>
        <v>0</v>
      </c>
      <c r="CO118" s="22" t="str">
        <f t="shared" si="7"/>
        <v/>
      </c>
      <c r="CP118" s="22" t="str">
        <f t="shared" si="8"/>
        <v/>
      </c>
      <c r="CQ118" s="22" t="str">
        <f t="shared" si="9"/>
        <v/>
      </c>
      <c r="CR118" s="22" t="str">
        <f t="shared" si="10"/>
        <v/>
      </c>
      <c r="CS118" s="22" t="str">
        <f t="shared" si="11"/>
        <v/>
      </c>
    </row>
    <row r="119" spans="1:97" x14ac:dyDescent="0.3">
      <c r="A119" s="22" t="s">
        <v>140</v>
      </c>
      <c r="B119" s="22" t="s">
        <v>779</v>
      </c>
      <c r="D119" s="22" t="s">
        <v>137</v>
      </c>
      <c r="E119" t="s">
        <v>280</v>
      </c>
      <c r="F119" s="22">
        <v>120262</v>
      </c>
      <c r="G119" s="25" t="s">
        <v>192</v>
      </c>
      <c r="H119" s="23">
        <f>Tabel2[[#This Row],[pnt t/m 2021/22]]+Tabel2[[#This Row],[pnt 2022/2023]]</f>
        <v>202</v>
      </c>
      <c r="I119">
        <v>2011</v>
      </c>
      <c r="J119">
        <v>2022</v>
      </c>
      <c r="K119" s="24">
        <f>Tabel2[[#This Row],[ijkdatum]]-Tabel2[[#This Row],[Geboren]]</f>
        <v>11</v>
      </c>
      <c r="L119" s="26">
        <f>Tabel2[[#This Row],[TTL 1]]+Tabel2[[#This Row],[TTL 2]]+Tabel2[[#This Row],[TTL 3]]+Tabel2[[#This Row],[TTL 4]]+Tabel2[[#This Row],[TTL 5]]+Tabel2[[#This Row],[TTL 6]]+Tabel2[[#This Row],[TTL 7]]+Tabel2[[#This Row],[TTL 8]]+Tabel2[[#This Row],[TTL 9]]+Tabel2[[#This Row],[TTL 10]]</f>
        <v>0</v>
      </c>
      <c r="M119" s="153">
        <v>202</v>
      </c>
      <c r="O119">
        <v>1</v>
      </c>
      <c r="S119" s="153">
        <f>SUM(Tabel2[[#This Row],[V 1]]*10+Tabel2[[#This Row],[GT 1]])/Tabel2[[#This Row],[AW 1]]*10+Tabel2[[#This Row],[BONUS 1]]</f>
        <v>0</v>
      </c>
      <c r="U119">
        <v>1</v>
      </c>
      <c r="Y119" s="153">
        <f>SUM(Tabel2[[#This Row],[V 2]]*10+Tabel2[[#This Row],[GT 2]])/Tabel2[[#This Row],[AW 2]]*10+Tabel2[[#This Row],[BONUS 2]]</f>
        <v>0</v>
      </c>
      <c r="AA119">
        <v>1</v>
      </c>
      <c r="AE119" s="153">
        <f>SUM(Tabel2[[#This Row],[V 3]]*10+Tabel2[[#This Row],[GT 3]])/Tabel2[[#This Row],[AW 3]]*10+Tabel2[[#This Row],[BONUS 3]]</f>
        <v>0</v>
      </c>
      <c r="AG119">
        <v>1</v>
      </c>
      <c r="AK119" s="153">
        <f>SUM(Tabel2[[#This Row],[V 4]]*10+Tabel2[[#This Row],[GT 4]])/Tabel2[[#This Row],[AW 4]]*10+Tabel2[[#This Row],[BONUS 4]]</f>
        <v>0</v>
      </c>
      <c r="AM119">
        <v>1</v>
      </c>
      <c r="AQ119" s="153">
        <f>SUM(Tabel2[[#This Row],[V 5]]*10+Tabel2[[#This Row],[GT 5]])/Tabel2[[#This Row],[AW 5]]*10+Tabel2[[#This Row],[BONUS 5]]</f>
        <v>0</v>
      </c>
      <c r="AS119">
        <v>1</v>
      </c>
      <c r="AW119" s="153">
        <f>SUM(Tabel2[[#This Row],[V 6]]*10+Tabel2[[#This Row],[GT 6]])/Tabel2[[#This Row],[AW 6]]*10+Tabel2[[#This Row],[BONUS 6]]</f>
        <v>0</v>
      </c>
      <c r="AY119">
        <v>1</v>
      </c>
      <c r="BC119" s="153">
        <f>SUM(Tabel2[[#This Row],[V 7]]*10+Tabel2[[#This Row],[GT 7]])/Tabel2[[#This Row],[AW 7]]*10+Tabel2[[#This Row],[BONUS 7]]</f>
        <v>0</v>
      </c>
      <c r="BE119">
        <v>1</v>
      </c>
      <c r="BI119" s="153">
        <f>SUM(Tabel2[[#This Row],[V 8]]*10+Tabel2[[#This Row],[GT 8]])/Tabel2[[#This Row],[AW 8]]*10+Tabel2[[#This Row],[BONUS 8]]</f>
        <v>0</v>
      </c>
      <c r="BK119">
        <v>1</v>
      </c>
      <c r="BO119" s="153">
        <f>SUM(Tabel2[[#This Row],[V 9]]*10+Tabel2[[#This Row],[GT 9]])/Tabel2[[#This Row],[AW 9]]*10+Tabel2[[#This Row],[BONUS 9]]</f>
        <v>0</v>
      </c>
      <c r="BQ119">
        <v>1</v>
      </c>
      <c r="BU119" s="23">
        <f>SUM(Tabel2[[#This Row],[V 10]]*10+Tabel2[[#This Row],[GT 10]])/Tabel2[[#This Row],[AW 10]]*10+Tabel2[[#This Row],[BONUS 10]]</f>
        <v>0</v>
      </c>
      <c r="BV1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9" s="22">
        <v>0</v>
      </c>
      <c r="BX119" s="22">
        <f>Tabel2[[#This Row],[Diploma]]-Tabel2[[#This Row],[Uitgeschreven]]</f>
        <v>0</v>
      </c>
      <c r="BY119" s="155" t="str">
        <f>IF(BX119=0,"geen actie",CONCATENATE("diploma uitschrijven: ",BV119," punten"))</f>
        <v>geen actie</v>
      </c>
      <c r="CA119" s="150">
        <f>Tabel2[[#This Row],[pnt t/m 2021/22]]</f>
        <v>202</v>
      </c>
      <c r="CB119" s="150">
        <f>Tabel2[[#This Row],[pnt 2022/2023]]</f>
        <v>0</v>
      </c>
      <c r="CC119" s="150">
        <f t="shared" si="12"/>
        <v>202</v>
      </c>
      <c r="CD119" s="150">
        <f>IF(Tabel2[[#This Row],[LPR 1]]&gt;0,1,0)</f>
        <v>0</v>
      </c>
      <c r="CE119" s="150">
        <f>IF(Tabel2[[#This Row],[LPR 2]]&gt;0,1,0)</f>
        <v>0</v>
      </c>
      <c r="CF119" s="150">
        <f>IF(Tabel2[[#This Row],[LPR 3]]&gt;0,1,0)</f>
        <v>0</v>
      </c>
      <c r="CG119" s="150">
        <f>IF(Tabel2[[#This Row],[LPR 4]]&gt;0,1,0)</f>
        <v>0</v>
      </c>
      <c r="CH119" s="150">
        <f>IF(Tabel2[[#This Row],[LPR 5]]&gt;0,1,0)</f>
        <v>0</v>
      </c>
      <c r="CI119" s="150">
        <f>IF(Tabel2[[#This Row],[LPR 6]]&gt;0,1,0)</f>
        <v>0</v>
      </c>
      <c r="CJ119" s="150">
        <f>IF(Tabel2[[#This Row],[LPR 7]]&gt;0,1,0)</f>
        <v>0</v>
      </c>
      <c r="CK119" s="150">
        <f>IF(Tabel2[[#This Row],[LPR 8]]&gt;0,1,0)</f>
        <v>0</v>
      </c>
      <c r="CL119" s="150">
        <f>IF(Tabel2[[#This Row],[LPR 9]]&gt;0,1,0)</f>
        <v>0</v>
      </c>
      <c r="CM119" s="150">
        <f>IF(Tabel2[[#This Row],[LPR 10]]&gt;0,1,0)</f>
        <v>0</v>
      </c>
      <c r="CN119" s="150">
        <f>SUM(Tabel7[[#This Row],[sep]:[jun]])</f>
        <v>0</v>
      </c>
      <c r="CO119" s="22" t="str">
        <f t="shared" si="7"/>
        <v/>
      </c>
      <c r="CP119" s="22" t="str">
        <f t="shared" si="8"/>
        <v/>
      </c>
      <c r="CQ119" s="22" t="str">
        <f t="shared" si="9"/>
        <v/>
      </c>
      <c r="CR119" s="22" t="str">
        <f t="shared" si="10"/>
        <v/>
      </c>
      <c r="CS119" s="22" t="str">
        <f t="shared" si="11"/>
        <v/>
      </c>
    </row>
    <row r="120" spans="1:97" x14ac:dyDescent="0.3">
      <c r="A120" s="22" t="s">
        <v>140</v>
      </c>
      <c r="B120" s="22" t="s">
        <v>779</v>
      </c>
      <c r="D120" s="22" t="s">
        <v>137</v>
      </c>
      <c r="E120" t="s">
        <v>281</v>
      </c>
      <c r="F120" s="22">
        <v>120461</v>
      </c>
      <c r="G120" s="25" t="s">
        <v>192</v>
      </c>
      <c r="H120" s="23">
        <f>Tabel2[[#This Row],[pnt t/m 2021/22]]+Tabel2[[#This Row],[pnt 2022/2023]]</f>
        <v>53.333333333333329</v>
      </c>
      <c r="I120">
        <v>2012</v>
      </c>
      <c r="J120">
        <v>2022</v>
      </c>
      <c r="K120" s="24">
        <f>Tabel2[[#This Row],[ijkdatum]]-Tabel2[[#This Row],[Geboren]]</f>
        <v>10</v>
      </c>
      <c r="L120" s="26">
        <f>Tabel2[[#This Row],[TTL 1]]+Tabel2[[#This Row],[TTL 2]]+Tabel2[[#This Row],[TTL 3]]+Tabel2[[#This Row],[TTL 4]]+Tabel2[[#This Row],[TTL 5]]+Tabel2[[#This Row],[TTL 6]]+Tabel2[[#This Row],[TTL 7]]+Tabel2[[#This Row],[TTL 8]]+Tabel2[[#This Row],[TTL 9]]+Tabel2[[#This Row],[TTL 10]]</f>
        <v>0</v>
      </c>
      <c r="M120" s="153">
        <v>53.333333333333329</v>
      </c>
      <c r="O120">
        <v>1</v>
      </c>
      <c r="S120" s="153">
        <f>SUM(Tabel2[[#This Row],[V 1]]*10+Tabel2[[#This Row],[GT 1]])/Tabel2[[#This Row],[AW 1]]*10+Tabel2[[#This Row],[BONUS 1]]</f>
        <v>0</v>
      </c>
      <c r="U120">
        <v>1</v>
      </c>
      <c r="Y120" s="153">
        <f>SUM(Tabel2[[#This Row],[V 2]]*10+Tabel2[[#This Row],[GT 2]])/Tabel2[[#This Row],[AW 2]]*10+Tabel2[[#This Row],[BONUS 2]]</f>
        <v>0</v>
      </c>
      <c r="AA120">
        <v>1</v>
      </c>
      <c r="AE120" s="153">
        <f>SUM(Tabel2[[#This Row],[V 3]]*10+Tabel2[[#This Row],[GT 3]])/Tabel2[[#This Row],[AW 3]]*10+Tabel2[[#This Row],[BONUS 3]]</f>
        <v>0</v>
      </c>
      <c r="AG120">
        <v>1</v>
      </c>
      <c r="AK120" s="153">
        <f>SUM(Tabel2[[#This Row],[V 4]]*10+Tabel2[[#This Row],[GT 4]])/Tabel2[[#This Row],[AW 4]]*10+Tabel2[[#This Row],[BONUS 4]]</f>
        <v>0</v>
      </c>
      <c r="AM120">
        <v>1</v>
      </c>
      <c r="AQ120" s="153">
        <f>SUM(Tabel2[[#This Row],[V 5]]*10+Tabel2[[#This Row],[GT 5]])/Tabel2[[#This Row],[AW 5]]*10+Tabel2[[#This Row],[BONUS 5]]</f>
        <v>0</v>
      </c>
      <c r="AS120">
        <v>1</v>
      </c>
      <c r="AW120" s="153">
        <f>SUM(Tabel2[[#This Row],[V 6]]*10+Tabel2[[#This Row],[GT 6]])/Tabel2[[#This Row],[AW 6]]*10+Tabel2[[#This Row],[BONUS 6]]</f>
        <v>0</v>
      </c>
      <c r="AY120">
        <v>1</v>
      </c>
      <c r="BC120" s="153">
        <f>SUM(Tabel2[[#This Row],[V 7]]*10+Tabel2[[#This Row],[GT 7]])/Tabel2[[#This Row],[AW 7]]*10+Tabel2[[#This Row],[BONUS 7]]</f>
        <v>0</v>
      </c>
      <c r="BE120">
        <v>1</v>
      </c>
      <c r="BI120" s="153">
        <f>SUM(Tabel2[[#This Row],[V 8]]*10+Tabel2[[#This Row],[GT 8]])/Tabel2[[#This Row],[AW 8]]*10+Tabel2[[#This Row],[BONUS 8]]</f>
        <v>0</v>
      </c>
      <c r="BK120">
        <v>1</v>
      </c>
      <c r="BO120" s="153">
        <f>SUM(Tabel2[[#This Row],[V 9]]*10+Tabel2[[#This Row],[GT 9]])/Tabel2[[#This Row],[AW 9]]*10+Tabel2[[#This Row],[BONUS 9]]</f>
        <v>0</v>
      </c>
      <c r="BQ120">
        <v>1</v>
      </c>
      <c r="BU120" s="23">
        <f>SUM(Tabel2[[#This Row],[V 10]]*10+Tabel2[[#This Row],[GT 10]])/Tabel2[[#This Row],[AW 10]]*10+Tabel2[[#This Row],[BONUS 10]]</f>
        <v>0</v>
      </c>
      <c r="BV1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0" s="22">
        <v>0</v>
      </c>
      <c r="BX120" s="22">
        <f>Tabel2[[#This Row],[Diploma]]-Tabel2[[#This Row],[Uitgeschreven]]</f>
        <v>0</v>
      </c>
      <c r="BY120" s="155" t="str">
        <f>IF(BX120=0,"geen actie",CONCATENATE("diploma uitschrijven: ",BV120," punten"))</f>
        <v>geen actie</v>
      </c>
      <c r="CA120" s="150">
        <f>Tabel2[[#This Row],[pnt t/m 2021/22]]</f>
        <v>53.333333333333329</v>
      </c>
      <c r="CB120" s="150">
        <f>Tabel2[[#This Row],[pnt 2022/2023]]</f>
        <v>0</v>
      </c>
      <c r="CC120" s="150">
        <f t="shared" si="12"/>
        <v>53.333333333333329</v>
      </c>
      <c r="CD120" s="150">
        <f>IF(Tabel2[[#This Row],[LPR 1]]&gt;0,1,0)</f>
        <v>0</v>
      </c>
      <c r="CE120" s="150">
        <f>IF(Tabel2[[#This Row],[LPR 2]]&gt;0,1,0)</f>
        <v>0</v>
      </c>
      <c r="CF120" s="150">
        <f>IF(Tabel2[[#This Row],[LPR 3]]&gt;0,1,0)</f>
        <v>0</v>
      </c>
      <c r="CG120" s="150">
        <f>IF(Tabel2[[#This Row],[LPR 4]]&gt;0,1,0)</f>
        <v>0</v>
      </c>
      <c r="CH120" s="150">
        <f>IF(Tabel2[[#This Row],[LPR 5]]&gt;0,1,0)</f>
        <v>0</v>
      </c>
      <c r="CI120" s="150">
        <f>IF(Tabel2[[#This Row],[LPR 6]]&gt;0,1,0)</f>
        <v>0</v>
      </c>
      <c r="CJ120" s="150">
        <f>IF(Tabel2[[#This Row],[LPR 7]]&gt;0,1,0)</f>
        <v>0</v>
      </c>
      <c r="CK120" s="150">
        <f>IF(Tabel2[[#This Row],[LPR 8]]&gt;0,1,0)</f>
        <v>0</v>
      </c>
      <c r="CL120" s="150">
        <f>IF(Tabel2[[#This Row],[LPR 9]]&gt;0,1,0)</f>
        <v>0</v>
      </c>
      <c r="CM120" s="150">
        <f>IF(Tabel2[[#This Row],[LPR 10]]&gt;0,1,0)</f>
        <v>0</v>
      </c>
      <c r="CN120" s="150">
        <f>SUM(Tabel7[[#This Row],[sep]:[jun]])</f>
        <v>0</v>
      </c>
      <c r="CO120" s="22" t="str">
        <f t="shared" si="7"/>
        <v/>
      </c>
      <c r="CP120" s="22" t="str">
        <f t="shared" si="8"/>
        <v/>
      </c>
      <c r="CQ120" s="22" t="str">
        <f t="shared" si="9"/>
        <v/>
      </c>
      <c r="CR120" s="22" t="str">
        <f t="shared" si="10"/>
        <v/>
      </c>
      <c r="CS120" s="22" t="str">
        <f t="shared" si="11"/>
        <v/>
      </c>
    </row>
    <row r="121" spans="1:97" x14ac:dyDescent="0.3">
      <c r="A121" s="22" t="s">
        <v>143</v>
      </c>
      <c r="B121" s="22" t="s">
        <v>779</v>
      </c>
      <c r="D121" s="22" t="s">
        <v>137</v>
      </c>
      <c r="E121" t="s">
        <v>282</v>
      </c>
      <c r="F121" s="22">
        <v>119760</v>
      </c>
      <c r="G121" s="25" t="s">
        <v>147</v>
      </c>
      <c r="H121" s="23">
        <f>Tabel2[[#This Row],[pnt t/m 2021/22]]+Tabel2[[#This Row],[pnt 2022/2023]]</f>
        <v>100</v>
      </c>
      <c r="I121">
        <v>2008</v>
      </c>
      <c r="J121">
        <v>2022</v>
      </c>
      <c r="K121" s="24">
        <f>Tabel2[[#This Row],[ijkdatum]]-Tabel2[[#This Row],[Geboren]]</f>
        <v>14</v>
      </c>
      <c r="L121" s="26">
        <f>Tabel2[[#This Row],[TTL 1]]+Tabel2[[#This Row],[TTL 2]]+Tabel2[[#This Row],[TTL 3]]+Tabel2[[#This Row],[TTL 4]]+Tabel2[[#This Row],[TTL 5]]+Tabel2[[#This Row],[TTL 6]]+Tabel2[[#This Row],[TTL 7]]+Tabel2[[#This Row],[TTL 8]]+Tabel2[[#This Row],[TTL 9]]+Tabel2[[#This Row],[TTL 10]]</f>
        <v>0</v>
      </c>
      <c r="M121" s="153">
        <v>100</v>
      </c>
      <c r="O121">
        <v>1</v>
      </c>
      <c r="S121" s="153">
        <f>SUM(Tabel2[[#This Row],[V 1]]*10+Tabel2[[#This Row],[GT 1]])/Tabel2[[#This Row],[AW 1]]*10+Tabel2[[#This Row],[BONUS 1]]</f>
        <v>0</v>
      </c>
      <c r="U121">
        <v>1</v>
      </c>
      <c r="Y121" s="153">
        <f>SUM(Tabel2[[#This Row],[V 2]]*10+Tabel2[[#This Row],[GT 2]])/Tabel2[[#This Row],[AW 2]]*10+Tabel2[[#This Row],[BONUS 2]]</f>
        <v>0</v>
      </c>
      <c r="AA121">
        <v>1</v>
      </c>
      <c r="AE121" s="153">
        <f>SUM(Tabel2[[#This Row],[V 3]]*10+Tabel2[[#This Row],[GT 3]])/Tabel2[[#This Row],[AW 3]]*10+Tabel2[[#This Row],[BONUS 3]]</f>
        <v>0</v>
      </c>
      <c r="AG121">
        <v>1</v>
      </c>
      <c r="AK121" s="153">
        <f>SUM(Tabel2[[#This Row],[V 4]]*10+Tabel2[[#This Row],[GT 4]])/Tabel2[[#This Row],[AW 4]]*10+Tabel2[[#This Row],[BONUS 4]]</f>
        <v>0</v>
      </c>
      <c r="AM121">
        <v>1</v>
      </c>
      <c r="AQ121" s="153">
        <f>SUM(Tabel2[[#This Row],[V 5]]*10+Tabel2[[#This Row],[GT 5]])/Tabel2[[#This Row],[AW 5]]*10+Tabel2[[#This Row],[BONUS 5]]</f>
        <v>0</v>
      </c>
      <c r="AS121">
        <v>1</v>
      </c>
      <c r="AW121" s="153">
        <f>SUM(Tabel2[[#This Row],[V 6]]*10+Tabel2[[#This Row],[GT 6]])/Tabel2[[#This Row],[AW 6]]*10+Tabel2[[#This Row],[BONUS 6]]</f>
        <v>0</v>
      </c>
      <c r="AY121">
        <v>1</v>
      </c>
      <c r="BC121" s="153">
        <f>SUM(Tabel2[[#This Row],[V 7]]*10+Tabel2[[#This Row],[GT 7]])/Tabel2[[#This Row],[AW 7]]*10+Tabel2[[#This Row],[BONUS 7]]</f>
        <v>0</v>
      </c>
      <c r="BE121">
        <v>1</v>
      </c>
      <c r="BI121" s="23">
        <f>SUM(Tabel2[[#This Row],[V 8]]*10+Tabel2[[#This Row],[GT 8]])/Tabel2[[#This Row],[AW 8]]*10+Tabel2[[#This Row],[BONUS 8]]</f>
        <v>0</v>
      </c>
      <c r="BK121">
        <v>1</v>
      </c>
      <c r="BO121" s="153">
        <f>SUM(Tabel2[[#This Row],[V 9]]*10+Tabel2[[#This Row],[GT 9]])/Tabel2[[#This Row],[AW 9]]*10+Tabel2[[#This Row],[BONUS 9]]</f>
        <v>0</v>
      </c>
      <c r="BQ121">
        <v>1</v>
      </c>
      <c r="BU121" s="23">
        <f>SUM(Tabel2[[#This Row],[V 10]]*10+Tabel2[[#This Row],[GT 10]])/Tabel2[[#This Row],[AW 10]]*10+Tabel2[[#This Row],[BONUS 10]]</f>
        <v>0</v>
      </c>
      <c r="BV1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1" s="22">
        <v>0</v>
      </c>
      <c r="BX121" s="22">
        <f>Tabel2[[#This Row],[Diploma]]-Tabel2[[#This Row],[Uitgeschreven]]</f>
        <v>0</v>
      </c>
      <c r="BY121" s="155" t="str">
        <f>IF(BX121=0,"geen actie",CONCATENATE("diploma uitschrijven: ",BV121," punten"))</f>
        <v>geen actie</v>
      </c>
      <c r="CA121" s="150">
        <f>Tabel2[[#This Row],[pnt t/m 2021/22]]</f>
        <v>100</v>
      </c>
      <c r="CB121" s="150">
        <f>Tabel2[[#This Row],[pnt 2022/2023]]</f>
        <v>0</v>
      </c>
      <c r="CC121" s="150">
        <f t="shared" si="12"/>
        <v>100</v>
      </c>
      <c r="CD121" s="150">
        <f>IF(Tabel2[[#This Row],[LPR 1]]&gt;0,1,0)</f>
        <v>0</v>
      </c>
      <c r="CE121" s="150">
        <f>IF(Tabel2[[#This Row],[LPR 2]]&gt;0,1,0)</f>
        <v>0</v>
      </c>
      <c r="CF121" s="150">
        <f>IF(Tabel2[[#This Row],[LPR 3]]&gt;0,1,0)</f>
        <v>0</v>
      </c>
      <c r="CG121" s="150">
        <f>IF(Tabel2[[#This Row],[LPR 4]]&gt;0,1,0)</f>
        <v>0</v>
      </c>
      <c r="CH121" s="150">
        <f>IF(Tabel2[[#This Row],[LPR 5]]&gt;0,1,0)</f>
        <v>0</v>
      </c>
      <c r="CI121" s="150">
        <f>IF(Tabel2[[#This Row],[LPR 6]]&gt;0,1,0)</f>
        <v>0</v>
      </c>
      <c r="CJ121" s="150">
        <f>IF(Tabel2[[#This Row],[LPR 7]]&gt;0,1,0)</f>
        <v>0</v>
      </c>
      <c r="CK121" s="150">
        <f>IF(Tabel2[[#This Row],[LPR 8]]&gt;0,1,0)</f>
        <v>0</v>
      </c>
      <c r="CL121" s="150">
        <f>IF(Tabel2[[#This Row],[LPR 9]]&gt;0,1,0)</f>
        <v>0</v>
      </c>
      <c r="CM121" s="150">
        <f>IF(Tabel2[[#This Row],[LPR 10]]&gt;0,1,0)</f>
        <v>0</v>
      </c>
      <c r="CN121" s="150">
        <f>SUM(Tabel7[[#This Row],[sep]:[jun]])</f>
        <v>0</v>
      </c>
      <c r="CO121" s="22" t="str">
        <f t="shared" si="7"/>
        <v/>
      </c>
      <c r="CP121" s="22" t="str">
        <f t="shared" si="8"/>
        <v/>
      </c>
      <c r="CQ121" s="22" t="str">
        <f t="shared" si="9"/>
        <v/>
      </c>
      <c r="CR121" s="22" t="str">
        <f t="shared" si="10"/>
        <v/>
      </c>
      <c r="CS121" s="22" t="str">
        <f t="shared" si="11"/>
        <v/>
      </c>
    </row>
    <row r="122" spans="1:97" x14ac:dyDescent="0.3">
      <c r="A122" s="22" t="s">
        <v>143</v>
      </c>
      <c r="B122" s="22" t="s">
        <v>778</v>
      </c>
      <c r="D122" s="22" t="s">
        <v>783</v>
      </c>
      <c r="E122" t="s">
        <v>244</v>
      </c>
      <c r="F122" s="22">
        <v>119258</v>
      </c>
      <c r="G122" s="25" t="s">
        <v>147</v>
      </c>
      <c r="H122" s="142">
        <f>Tabel2[[#This Row],[pnt t/m 2021/22]]+Tabel2[[#This Row],[pnt 2022/2023]]</f>
        <v>738.42063492063494</v>
      </c>
      <c r="I122">
        <v>2008</v>
      </c>
      <c r="J122">
        <v>2022</v>
      </c>
      <c r="K122" s="24">
        <f>Tabel2[[#This Row],[ijkdatum]]-Tabel2[[#This Row],[Geboren]]</f>
        <v>14</v>
      </c>
      <c r="L122" s="26">
        <f>Tabel2[[#This Row],[TTL 1]]+Tabel2[[#This Row],[TTL 2]]+Tabel2[[#This Row],[TTL 3]]+Tabel2[[#This Row],[TTL 4]]+Tabel2[[#This Row],[TTL 5]]+Tabel2[[#This Row],[TTL 6]]+Tabel2[[#This Row],[TTL 7]]+Tabel2[[#This Row],[TTL 8]]+Tabel2[[#This Row],[TTL 9]]+Tabel2[[#This Row],[TTL 10]]</f>
        <v>161.25</v>
      </c>
      <c r="M122" s="141">
        <v>577.17063492063494</v>
      </c>
      <c r="N122">
        <v>5</v>
      </c>
      <c r="O122">
        <v>8</v>
      </c>
      <c r="P122">
        <v>5</v>
      </c>
      <c r="Q122">
        <v>33</v>
      </c>
      <c r="S122" s="23">
        <f>SUM(Tabel2[[#This Row],[V 1]]*10+Tabel2[[#This Row],[GT 1]])/Tabel2[[#This Row],[AW 1]]*10+Tabel2[[#This Row],[BONUS 1]]</f>
        <v>103.75</v>
      </c>
      <c r="T122">
        <v>4</v>
      </c>
      <c r="U122">
        <v>12</v>
      </c>
      <c r="V122">
        <v>3</v>
      </c>
      <c r="W122">
        <v>39</v>
      </c>
      <c r="Y122" s="23">
        <f>SUM(Tabel2[[#This Row],[V 2]]*10+Tabel2[[#This Row],[GT 2]])/Tabel2[[#This Row],[AW 2]]*10+Tabel2[[#This Row],[BONUS 2]]</f>
        <v>57.5</v>
      </c>
      <c r="AA122">
        <v>1</v>
      </c>
      <c r="AE122" s="23">
        <f>SUM(Tabel2[[#This Row],[V 3]]*10+Tabel2[[#This Row],[GT 3]])/Tabel2[[#This Row],[AW 3]]*10+Tabel2[[#This Row],[BONUS 3]]</f>
        <v>0</v>
      </c>
      <c r="AG122">
        <v>1</v>
      </c>
      <c r="AK122" s="23">
        <f>SUM(Tabel2[[#This Row],[V 4]]*10+Tabel2[[#This Row],[GT 4]])/Tabel2[[#This Row],[AW 4]]*10+Tabel2[[#This Row],[BONUS 4]]</f>
        <v>0</v>
      </c>
      <c r="AM122">
        <v>1</v>
      </c>
      <c r="AQ122" s="23">
        <f>SUM(Tabel2[[#This Row],[V 5]]*10+Tabel2[[#This Row],[GT 5]])/Tabel2[[#This Row],[AW 5]]*10+Tabel2[[#This Row],[BONUS 5]]</f>
        <v>0</v>
      </c>
      <c r="AS122">
        <v>1</v>
      </c>
      <c r="AW122" s="23">
        <f>SUM(Tabel2[[#This Row],[V 6]]*10+Tabel2[[#This Row],[GT 6]])/Tabel2[[#This Row],[AW 6]]*10+Tabel2[[#This Row],[BONUS 6]]</f>
        <v>0</v>
      </c>
      <c r="AY122">
        <v>1</v>
      </c>
      <c r="BC122" s="23">
        <f>SUM(Tabel2[[#This Row],[V 7]]*10+Tabel2[[#This Row],[GT 7]])/Tabel2[[#This Row],[AW 7]]*10+Tabel2[[#This Row],[BONUS 7]]</f>
        <v>0</v>
      </c>
      <c r="BE122">
        <v>1</v>
      </c>
      <c r="BI122" s="23">
        <f>SUM(Tabel2[[#This Row],[V 8]]*10+Tabel2[[#This Row],[GT 8]])/Tabel2[[#This Row],[AW 8]]*10+Tabel2[[#This Row],[BONUS 8]]</f>
        <v>0</v>
      </c>
      <c r="BK122">
        <v>1</v>
      </c>
      <c r="BO122" s="23">
        <f>SUM(Tabel2[[#This Row],[V 9]]*10+Tabel2[[#This Row],[GT 9]])/Tabel2[[#This Row],[AW 9]]*10+Tabel2[[#This Row],[BONUS 9]]</f>
        <v>0</v>
      </c>
      <c r="BQ122">
        <v>1</v>
      </c>
      <c r="BU122" s="23">
        <f>SUM(Tabel2[[#This Row],[V 10]]*10+Tabel2[[#This Row],[GT 10]])/Tabel2[[#This Row],[AW 10]]*10+Tabel2[[#This Row],[BONUS 10]]</f>
        <v>0</v>
      </c>
      <c r="BV12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2" s="22">
        <v>500</v>
      </c>
      <c r="BX122" s="30">
        <f>Tabel2[[#This Row],[Diploma]]-Tabel2[[#This Row],[Uitgeschreven]]</f>
        <v>0</v>
      </c>
      <c r="BY122" s="2" t="str">
        <f>IF(BX122=0,"geen actie",CONCATENATE("diploma uitschrijven: ",BV122," punten"))</f>
        <v>geen actie</v>
      </c>
      <c r="CA122" s="150">
        <f>Tabel2[[#This Row],[pnt t/m 2021/22]]</f>
        <v>577.17063492063494</v>
      </c>
      <c r="CB122" s="150">
        <f>Tabel2[[#This Row],[pnt 2022/2023]]</f>
        <v>161.25</v>
      </c>
      <c r="CC122" s="150">
        <f t="shared" si="12"/>
        <v>738.42063492063494</v>
      </c>
      <c r="CD122" s="150">
        <f>IF(Tabel2[[#This Row],[LPR 1]]&gt;0,1,0)</f>
        <v>1</v>
      </c>
      <c r="CE122" s="150">
        <f>IF(Tabel2[[#This Row],[LPR 2]]&gt;0,1,0)</f>
        <v>1</v>
      </c>
      <c r="CF122" s="150">
        <f>IF(Tabel2[[#This Row],[LPR 3]]&gt;0,1,0)</f>
        <v>0</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2</v>
      </c>
      <c r="CO122" s="22" t="str">
        <f t="shared" si="7"/>
        <v/>
      </c>
      <c r="CP122" s="22" t="str">
        <f t="shared" si="8"/>
        <v/>
      </c>
      <c r="CQ122" s="22" t="str">
        <f t="shared" si="9"/>
        <v/>
      </c>
      <c r="CR122" s="22" t="str">
        <f t="shared" si="10"/>
        <v/>
      </c>
      <c r="CS122" s="22" t="str">
        <f t="shared" si="11"/>
        <v/>
      </c>
    </row>
    <row r="123" spans="1:97" x14ac:dyDescent="0.3">
      <c r="A123" s="22" t="s">
        <v>135</v>
      </c>
      <c r="B123" s="22" t="s">
        <v>778</v>
      </c>
      <c r="D123" s="22" t="s">
        <v>137</v>
      </c>
      <c r="E123" t="s">
        <v>284</v>
      </c>
      <c r="F123" s="22">
        <v>119082</v>
      </c>
      <c r="G123" s="25" t="s">
        <v>182</v>
      </c>
      <c r="H123" s="142">
        <f>Tabel2[[#This Row],[pnt t/m 2021/22]]+Tabel2[[#This Row],[pnt 2022/2023]]</f>
        <v>546.83333333333337</v>
      </c>
      <c r="I123">
        <v>2010</v>
      </c>
      <c r="J123">
        <v>2022</v>
      </c>
      <c r="K123" s="24">
        <f>Tabel2[[#This Row],[ijkdatum]]-Tabel2[[#This Row],[Geboren]]</f>
        <v>12</v>
      </c>
      <c r="L123" s="26">
        <f>Tabel2[[#This Row],[TTL 1]]+Tabel2[[#This Row],[TTL 2]]+Tabel2[[#This Row],[TTL 3]]+Tabel2[[#This Row],[TTL 4]]+Tabel2[[#This Row],[TTL 5]]+Tabel2[[#This Row],[TTL 6]]+Tabel2[[#This Row],[TTL 7]]+Tabel2[[#This Row],[TTL 8]]+Tabel2[[#This Row],[TTL 9]]+Tabel2[[#This Row],[TTL 10]]</f>
        <v>0</v>
      </c>
      <c r="M123" s="141">
        <v>546.83333333333337</v>
      </c>
      <c r="O123">
        <v>1</v>
      </c>
      <c r="S123" s="23">
        <f>SUM(Tabel2[[#This Row],[V 1]]*10+Tabel2[[#This Row],[GT 1]])/Tabel2[[#This Row],[AW 1]]*10+Tabel2[[#This Row],[BONUS 1]]</f>
        <v>0</v>
      </c>
      <c r="U123">
        <v>1</v>
      </c>
      <c r="Y123" s="23">
        <f>SUM(Tabel2[[#This Row],[V 2]]*10+Tabel2[[#This Row],[GT 2]])/Tabel2[[#This Row],[AW 2]]*10+Tabel2[[#This Row],[BONUS 2]]</f>
        <v>0</v>
      </c>
      <c r="AA123">
        <v>1</v>
      </c>
      <c r="AE123" s="23">
        <f>SUM(Tabel2[[#This Row],[V 3]]*10+Tabel2[[#This Row],[GT 3]])/Tabel2[[#This Row],[AW 3]]*10+Tabel2[[#This Row],[BONUS 3]]</f>
        <v>0</v>
      </c>
      <c r="AG123">
        <v>1</v>
      </c>
      <c r="AK123" s="23">
        <f>SUM(Tabel2[[#This Row],[V 4]]*10+Tabel2[[#This Row],[GT 4]])/Tabel2[[#This Row],[AW 4]]*10+Tabel2[[#This Row],[BONUS 4]]</f>
        <v>0</v>
      </c>
      <c r="AM123">
        <v>1</v>
      </c>
      <c r="AQ123" s="23">
        <f>SUM(Tabel2[[#This Row],[V 5]]*10+Tabel2[[#This Row],[GT 5]])/Tabel2[[#This Row],[AW 5]]*10+Tabel2[[#This Row],[BONUS 5]]</f>
        <v>0</v>
      </c>
      <c r="AS123">
        <v>1</v>
      </c>
      <c r="AW123" s="23">
        <f>SUM(Tabel2[[#This Row],[V 6]]*10+Tabel2[[#This Row],[GT 6]])/Tabel2[[#This Row],[AW 6]]*10+Tabel2[[#This Row],[BONUS 6]]</f>
        <v>0</v>
      </c>
      <c r="AY123">
        <v>1</v>
      </c>
      <c r="BC123" s="23">
        <f>SUM(Tabel2[[#This Row],[V 7]]*10+Tabel2[[#This Row],[GT 7]])/Tabel2[[#This Row],[AW 7]]*10+Tabel2[[#This Row],[BONUS 7]]</f>
        <v>0</v>
      </c>
      <c r="BE123">
        <v>1</v>
      </c>
      <c r="BI123" s="23">
        <f>SUM(Tabel2[[#This Row],[V 8]]*10+Tabel2[[#This Row],[GT 8]])/Tabel2[[#This Row],[AW 8]]*10+Tabel2[[#This Row],[BONUS 8]]</f>
        <v>0</v>
      </c>
      <c r="BK123">
        <v>1</v>
      </c>
      <c r="BO123" s="23">
        <f>SUM(Tabel2[[#This Row],[V 9]]*10+Tabel2[[#This Row],[GT 9]])/Tabel2[[#This Row],[AW 9]]*10+Tabel2[[#This Row],[BONUS 9]]</f>
        <v>0</v>
      </c>
      <c r="BQ123">
        <v>1</v>
      </c>
      <c r="BU123" s="23">
        <f>SUM(Tabel2[[#This Row],[V 10]]*10+Tabel2[[#This Row],[GT 10]])/Tabel2[[#This Row],[AW 10]]*10+Tabel2[[#This Row],[BONUS 10]]</f>
        <v>0</v>
      </c>
      <c r="BV12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3" s="22">
        <v>500</v>
      </c>
      <c r="BX123" s="30">
        <f>Tabel2[[#This Row],[Diploma]]-Tabel2[[#This Row],[Uitgeschreven]]</f>
        <v>0</v>
      </c>
      <c r="BY123" s="2" t="str">
        <f>IF(BX123=0,"geen actie",CONCATENATE("diploma uitschrijven: ",BV123," punten"))</f>
        <v>geen actie</v>
      </c>
      <c r="CA123" s="150">
        <f>Tabel2[[#This Row],[pnt t/m 2021/22]]</f>
        <v>546.83333333333337</v>
      </c>
      <c r="CB123" s="150">
        <f>Tabel2[[#This Row],[pnt 2022/2023]]</f>
        <v>0</v>
      </c>
      <c r="CC123" s="150">
        <f t="shared" si="12"/>
        <v>546.83333333333337</v>
      </c>
      <c r="CD123" s="150">
        <f>IF(Tabel2[[#This Row],[LPR 1]]&gt;0,1,0)</f>
        <v>0</v>
      </c>
      <c r="CE123" s="150">
        <f>IF(Tabel2[[#This Row],[LPR 2]]&gt;0,1,0)</f>
        <v>0</v>
      </c>
      <c r="CF123" s="150">
        <f>IF(Tabel2[[#This Row],[LPR 3]]&gt;0,1,0)</f>
        <v>0</v>
      </c>
      <c r="CG123" s="150">
        <f>IF(Tabel2[[#This Row],[LPR 4]]&gt;0,1,0)</f>
        <v>0</v>
      </c>
      <c r="CH123" s="150">
        <f>IF(Tabel2[[#This Row],[LPR 5]]&gt;0,1,0)</f>
        <v>0</v>
      </c>
      <c r="CI123" s="150">
        <f>IF(Tabel2[[#This Row],[LPR 6]]&gt;0,1,0)</f>
        <v>0</v>
      </c>
      <c r="CJ123" s="150">
        <f>IF(Tabel2[[#This Row],[LPR 7]]&gt;0,1,0)</f>
        <v>0</v>
      </c>
      <c r="CK123" s="150">
        <f>IF(Tabel2[[#This Row],[LPR 8]]&gt;0,1,0)</f>
        <v>0</v>
      </c>
      <c r="CL123" s="150">
        <f>IF(Tabel2[[#This Row],[LPR 9]]&gt;0,1,0)</f>
        <v>0</v>
      </c>
      <c r="CM123" s="150">
        <f>IF(Tabel2[[#This Row],[LPR 10]]&gt;0,1,0)</f>
        <v>0</v>
      </c>
      <c r="CN123" s="150">
        <f>SUM(Tabel7[[#This Row],[sep]:[jun]])</f>
        <v>0</v>
      </c>
      <c r="CO123" s="22" t="str">
        <f t="shared" si="7"/>
        <v/>
      </c>
      <c r="CP123" s="22" t="str">
        <f t="shared" si="8"/>
        <v/>
      </c>
      <c r="CQ123" s="22" t="str">
        <f t="shared" si="9"/>
        <v/>
      </c>
      <c r="CR123" s="22" t="str">
        <f t="shared" si="10"/>
        <v/>
      </c>
      <c r="CS123" s="22" t="str">
        <f t="shared" si="11"/>
        <v/>
      </c>
    </row>
    <row r="124" spans="1:97" x14ac:dyDescent="0.3">
      <c r="A124" s="22" t="s">
        <v>153</v>
      </c>
      <c r="B124" s="22" t="s">
        <v>778</v>
      </c>
      <c r="D124" s="22" t="s">
        <v>137</v>
      </c>
      <c r="E124" t="s">
        <v>285</v>
      </c>
      <c r="F124" s="22">
        <v>119083</v>
      </c>
      <c r="G124" s="25" t="s">
        <v>182</v>
      </c>
      <c r="H124" s="142">
        <f>Tabel2[[#This Row],[pnt t/m 2021/22]]+Tabel2[[#This Row],[pnt 2022/2023]]</f>
        <v>98.303571428571431</v>
      </c>
      <c r="I124">
        <v>2013</v>
      </c>
      <c r="J124">
        <v>2022</v>
      </c>
      <c r="K124" s="24">
        <f>Tabel2[[#This Row],[ijkdatum]]-Tabel2[[#This Row],[Geboren]]</f>
        <v>9</v>
      </c>
      <c r="L124" s="26">
        <f>Tabel2[[#This Row],[TTL 1]]+Tabel2[[#This Row],[TTL 2]]+Tabel2[[#This Row],[TTL 3]]+Tabel2[[#This Row],[TTL 4]]+Tabel2[[#This Row],[TTL 5]]+Tabel2[[#This Row],[TTL 6]]+Tabel2[[#This Row],[TTL 7]]+Tabel2[[#This Row],[TTL 8]]+Tabel2[[#This Row],[TTL 9]]+Tabel2[[#This Row],[TTL 10]]</f>
        <v>0</v>
      </c>
      <c r="M124" s="141">
        <v>98.303571428571431</v>
      </c>
      <c r="O124">
        <v>1</v>
      </c>
      <c r="S124" s="23">
        <f>SUM(Tabel2[[#This Row],[V 1]]*10+Tabel2[[#This Row],[GT 1]])/Tabel2[[#This Row],[AW 1]]*10+Tabel2[[#This Row],[BONUS 1]]</f>
        <v>0</v>
      </c>
      <c r="U124">
        <v>1</v>
      </c>
      <c r="Y124" s="23">
        <f>SUM(Tabel2[[#This Row],[V 2]]*10+Tabel2[[#This Row],[GT 2]])/Tabel2[[#This Row],[AW 2]]*10+Tabel2[[#This Row],[BONUS 2]]</f>
        <v>0</v>
      </c>
      <c r="AA124">
        <v>1</v>
      </c>
      <c r="AE124" s="23">
        <f>SUM(Tabel2[[#This Row],[V 3]]*10+Tabel2[[#This Row],[GT 3]])/Tabel2[[#This Row],[AW 3]]*10+Tabel2[[#This Row],[BONUS 3]]</f>
        <v>0</v>
      </c>
      <c r="AG124">
        <v>1</v>
      </c>
      <c r="AK124" s="23">
        <f>SUM(Tabel2[[#This Row],[V 4]]*10+Tabel2[[#This Row],[GT 4]])/Tabel2[[#This Row],[AW 4]]*10+Tabel2[[#This Row],[BONUS 4]]</f>
        <v>0</v>
      </c>
      <c r="AM124">
        <v>1</v>
      </c>
      <c r="AQ124" s="23">
        <f>SUM(Tabel2[[#This Row],[V 5]]*10+Tabel2[[#This Row],[GT 5]])/Tabel2[[#This Row],[AW 5]]*10+Tabel2[[#This Row],[BONUS 5]]</f>
        <v>0</v>
      </c>
      <c r="AS124">
        <v>1</v>
      </c>
      <c r="AW124" s="23">
        <f>SUM(Tabel2[[#This Row],[V 6]]*10+Tabel2[[#This Row],[GT 6]])/Tabel2[[#This Row],[AW 6]]*10+Tabel2[[#This Row],[BONUS 6]]</f>
        <v>0</v>
      </c>
      <c r="AY124">
        <v>1</v>
      </c>
      <c r="BC124" s="23">
        <f>SUM(Tabel2[[#This Row],[V 7]]*10+Tabel2[[#This Row],[GT 7]])/Tabel2[[#This Row],[AW 7]]*10+Tabel2[[#This Row],[BONUS 7]]</f>
        <v>0</v>
      </c>
      <c r="BE124">
        <v>1</v>
      </c>
      <c r="BI124" s="23">
        <f>SUM(Tabel2[[#This Row],[V 8]]*10+Tabel2[[#This Row],[GT 8]])/Tabel2[[#This Row],[AW 8]]*10+Tabel2[[#This Row],[BONUS 8]]</f>
        <v>0</v>
      </c>
      <c r="BK124">
        <v>1</v>
      </c>
      <c r="BO124" s="2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4" s="22">
        <v>0</v>
      </c>
      <c r="BX124" s="30">
        <f>Tabel2[[#This Row],[Diploma]]-Tabel2[[#This Row],[Uitgeschreven]]</f>
        <v>0</v>
      </c>
      <c r="BY124" s="2" t="str">
        <f>IF(BX124=0,"geen actie",CONCATENATE("diploma uitschrijven: ",BV124," punten"))</f>
        <v>geen actie</v>
      </c>
      <c r="CA124" s="150">
        <f>Tabel2[[#This Row],[pnt t/m 2021/22]]</f>
        <v>98.303571428571431</v>
      </c>
      <c r="CB124" s="150">
        <f>Tabel2[[#This Row],[pnt 2022/2023]]</f>
        <v>0</v>
      </c>
      <c r="CC124" s="150">
        <f t="shared" si="12"/>
        <v>98.303571428571431</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0</v>
      </c>
      <c r="CJ124" s="150">
        <f>IF(Tabel2[[#This Row],[LPR 7]]&gt;0,1,0)</f>
        <v>0</v>
      </c>
      <c r="CK124" s="150">
        <f>IF(Tabel2[[#This Row],[LPR 8]]&gt;0,1,0)</f>
        <v>0</v>
      </c>
      <c r="CL124" s="150">
        <f>IF(Tabel2[[#This Row],[LPR 9]]&gt;0,1,0)</f>
        <v>0</v>
      </c>
      <c r="CM124" s="150">
        <f>IF(Tabel2[[#This Row],[LPR 10]]&gt;0,1,0)</f>
        <v>0</v>
      </c>
      <c r="CN124" s="150">
        <f>SUM(Tabel7[[#This Row],[sep]:[jun]])</f>
        <v>0</v>
      </c>
      <c r="CO124" s="22" t="str">
        <f t="shared" si="7"/>
        <v/>
      </c>
      <c r="CP124" s="22" t="str">
        <f t="shared" si="8"/>
        <v/>
      </c>
      <c r="CQ124" s="22" t="str">
        <f t="shared" si="9"/>
        <v/>
      </c>
      <c r="CR124" s="22" t="str">
        <f t="shared" si="10"/>
        <v/>
      </c>
      <c r="CS124" s="22" t="str">
        <f t="shared" si="11"/>
        <v/>
      </c>
    </row>
    <row r="125" spans="1:97" x14ac:dyDescent="0.3">
      <c r="A125" s="22" t="s">
        <v>135</v>
      </c>
      <c r="B125" s="22" t="s">
        <v>778</v>
      </c>
      <c r="D125" s="22" t="s">
        <v>137</v>
      </c>
      <c r="E125" t="s">
        <v>286</v>
      </c>
      <c r="F125" s="22">
        <v>120066</v>
      </c>
      <c r="G125" s="25" t="s">
        <v>287</v>
      </c>
      <c r="H125" s="142">
        <f>Tabel2[[#This Row],[pnt t/m 2021/22]]+Tabel2[[#This Row],[pnt 2022/2023]]</f>
        <v>346.11111111111109</v>
      </c>
      <c r="I125">
        <v>2005</v>
      </c>
      <c r="J125">
        <v>2022</v>
      </c>
      <c r="K125" s="24">
        <f>Tabel2[[#This Row],[ijkdatum]]-Tabel2[[#This Row],[Geboren]]</f>
        <v>17</v>
      </c>
      <c r="L125" s="26">
        <f>Tabel2[[#This Row],[TTL 1]]+Tabel2[[#This Row],[TTL 2]]+Tabel2[[#This Row],[TTL 3]]+Tabel2[[#This Row],[TTL 4]]+Tabel2[[#This Row],[TTL 5]]+Tabel2[[#This Row],[TTL 6]]+Tabel2[[#This Row],[TTL 7]]+Tabel2[[#This Row],[TTL 8]]+Tabel2[[#This Row],[TTL 9]]+Tabel2[[#This Row],[TTL 10]]</f>
        <v>0</v>
      </c>
      <c r="M125" s="141">
        <v>346.11111111111109</v>
      </c>
      <c r="O125">
        <v>1</v>
      </c>
      <c r="S125" s="23">
        <f>SUM(Tabel2[[#This Row],[V 1]]*10+Tabel2[[#This Row],[GT 1]])/Tabel2[[#This Row],[AW 1]]*10+Tabel2[[#This Row],[BONUS 1]]</f>
        <v>0</v>
      </c>
      <c r="U125">
        <v>1</v>
      </c>
      <c r="Y125" s="23">
        <f>SUM(Tabel2[[#This Row],[V 2]]*10+Tabel2[[#This Row],[GT 2]])/Tabel2[[#This Row],[AW 2]]*10+Tabel2[[#This Row],[BONUS 2]]</f>
        <v>0</v>
      </c>
      <c r="AA125">
        <v>1</v>
      </c>
      <c r="AE125" s="23">
        <f>SUM(Tabel2[[#This Row],[V 3]]*10+Tabel2[[#This Row],[GT 3]])/Tabel2[[#This Row],[AW 3]]*10+Tabel2[[#This Row],[BONUS 3]]</f>
        <v>0</v>
      </c>
      <c r="AG125">
        <v>1</v>
      </c>
      <c r="AK125" s="23">
        <f>SUM(Tabel2[[#This Row],[V 4]]*10+Tabel2[[#This Row],[GT 4]])/Tabel2[[#This Row],[AW 4]]*10+Tabel2[[#This Row],[BONUS 4]]</f>
        <v>0</v>
      </c>
      <c r="AM125">
        <v>1</v>
      </c>
      <c r="AQ125" s="23">
        <f>SUM(Tabel2[[#This Row],[V 5]]*10+Tabel2[[#This Row],[GT 5]])/Tabel2[[#This Row],[AW 5]]*10+Tabel2[[#This Row],[BONUS 5]]</f>
        <v>0</v>
      </c>
      <c r="AS125">
        <v>1</v>
      </c>
      <c r="AW125" s="23">
        <f>SUM(Tabel2[[#This Row],[V 6]]*10+Tabel2[[#This Row],[GT 6]])/Tabel2[[#This Row],[AW 6]]*10+Tabel2[[#This Row],[BONUS 6]]</f>
        <v>0</v>
      </c>
      <c r="AY125">
        <v>1</v>
      </c>
      <c r="BC125" s="23">
        <f>SUM(Tabel2[[#This Row],[V 7]]*10+Tabel2[[#This Row],[GT 7]])/Tabel2[[#This Row],[AW 7]]*10+Tabel2[[#This Row],[BONUS 7]]</f>
        <v>0</v>
      </c>
      <c r="BE125">
        <v>1</v>
      </c>
      <c r="BI125" s="23">
        <f>SUM(Tabel2[[#This Row],[V 8]]*10+Tabel2[[#This Row],[GT 8]])/Tabel2[[#This Row],[AW 8]]*10+Tabel2[[#This Row],[BONUS 8]]</f>
        <v>0</v>
      </c>
      <c r="BK125">
        <v>1</v>
      </c>
      <c r="BO125" s="23">
        <f>SUM(Tabel2[[#This Row],[V 9]]*10+Tabel2[[#This Row],[GT 9]])/Tabel2[[#This Row],[AW 9]]*10+Tabel2[[#This Row],[BONUS 9]]</f>
        <v>0</v>
      </c>
      <c r="BQ125">
        <v>1</v>
      </c>
      <c r="BU125" s="23">
        <f>SUM(Tabel2[[#This Row],[V 10]]*10+Tabel2[[#This Row],[GT 10]])/Tabel2[[#This Row],[AW 10]]*10+Tabel2[[#This Row],[BONUS 10]]</f>
        <v>0</v>
      </c>
      <c r="BV1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25" s="22">
        <v>250</v>
      </c>
      <c r="BX125" s="30">
        <f>Tabel2[[#This Row],[Diploma]]-Tabel2[[#This Row],[Uitgeschreven]]</f>
        <v>0</v>
      </c>
      <c r="BY125" s="2" t="str">
        <f>IF(BX125=0,"geen actie",CONCATENATE("diploma uitschrijven: ",BV125," punten"))</f>
        <v>geen actie</v>
      </c>
      <c r="CA125" s="150">
        <f>Tabel2[[#This Row],[pnt t/m 2021/22]]</f>
        <v>346.11111111111109</v>
      </c>
      <c r="CB125" s="150">
        <f>Tabel2[[#This Row],[pnt 2022/2023]]</f>
        <v>0</v>
      </c>
      <c r="CC125" s="150">
        <f t="shared" si="12"/>
        <v>346.11111111111109</v>
      </c>
      <c r="CD125" s="150">
        <f>IF(Tabel2[[#This Row],[LPR 1]]&gt;0,1,0)</f>
        <v>0</v>
      </c>
      <c r="CE125" s="150">
        <f>IF(Tabel2[[#This Row],[LPR 2]]&gt;0,1,0)</f>
        <v>0</v>
      </c>
      <c r="CF125" s="150">
        <f>IF(Tabel2[[#This Row],[LPR 3]]&gt;0,1,0)</f>
        <v>0</v>
      </c>
      <c r="CG125" s="150">
        <f>IF(Tabel2[[#This Row],[LPR 4]]&gt;0,1,0)</f>
        <v>0</v>
      </c>
      <c r="CH125" s="150">
        <f>IF(Tabel2[[#This Row],[LPR 5]]&gt;0,1,0)</f>
        <v>0</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0</v>
      </c>
      <c r="CO125" s="22" t="str">
        <f t="shared" si="7"/>
        <v/>
      </c>
      <c r="CP125" s="22" t="str">
        <f t="shared" si="8"/>
        <v/>
      </c>
      <c r="CQ125" s="22" t="str">
        <f t="shared" si="9"/>
        <v/>
      </c>
      <c r="CR125" s="22" t="str">
        <f t="shared" si="10"/>
        <v/>
      </c>
      <c r="CS125" s="22" t="str">
        <f t="shared" si="11"/>
        <v/>
      </c>
    </row>
    <row r="126" spans="1:97" x14ac:dyDescent="0.3">
      <c r="A126" s="22" t="s">
        <v>169</v>
      </c>
      <c r="B126" s="22" t="s">
        <v>779</v>
      </c>
      <c r="D126" s="22" t="s">
        <v>137</v>
      </c>
      <c r="E126" t="s">
        <v>785</v>
      </c>
      <c r="F126" s="22">
        <v>120212</v>
      </c>
      <c r="G126" s="25" t="s">
        <v>185</v>
      </c>
      <c r="H126" s="142">
        <f>Tabel2[[#This Row],[pnt t/m 2021/22]]+Tabel2[[#This Row],[pnt 2022/2023]]</f>
        <v>118.75</v>
      </c>
      <c r="I126">
        <v>2013</v>
      </c>
      <c r="J126">
        <v>2023</v>
      </c>
      <c r="K126" s="24">
        <f>Tabel2[[#This Row],[ijkdatum]]-Tabel2[[#This Row],[Geboren]]</f>
        <v>10</v>
      </c>
      <c r="L126" s="26">
        <f>Tabel2[[#This Row],[TTL 1]]+Tabel2[[#This Row],[TTL 2]]+Tabel2[[#This Row],[TTL 3]]+Tabel2[[#This Row],[TTL 4]]+Tabel2[[#This Row],[TTL 5]]+Tabel2[[#This Row],[TTL 6]]+Tabel2[[#This Row],[TTL 7]]+Tabel2[[#This Row],[TTL 8]]+Tabel2[[#This Row],[TTL 9]]+Tabel2[[#This Row],[TTL 10]]</f>
        <v>118.75</v>
      </c>
      <c r="M126" s="141"/>
      <c r="O126">
        <v>1</v>
      </c>
      <c r="S126" s="23">
        <f>SUM(Tabel2[[#This Row],[V 1]]*10+Tabel2[[#This Row],[GT 1]])/Tabel2[[#This Row],[AW 1]]*10+Tabel2[[#This Row],[BONUS 1]]</f>
        <v>0</v>
      </c>
      <c r="T126">
        <v>7</v>
      </c>
      <c r="U126">
        <v>12</v>
      </c>
      <c r="V126">
        <v>0</v>
      </c>
      <c r="W126">
        <v>45</v>
      </c>
      <c r="X126">
        <v>100</v>
      </c>
      <c r="Y126" s="23">
        <f>SUM(Tabel2[[#This Row],[V 2]]*10+(Tabel2[[#This Row],[GT 2]]/2))/Tabel2[[#This Row],[AW 2]]*10+Tabel2[[#This Row],[BONUS 2]]</f>
        <v>118.75</v>
      </c>
      <c r="AA126">
        <v>1</v>
      </c>
      <c r="AE126" s="23">
        <f>SUM(Tabel2[[#This Row],[V 3]]*10+Tabel2[[#This Row],[GT 3]])/Tabel2[[#This Row],[AW 3]]*10+Tabel2[[#This Row],[BONUS 3]]</f>
        <v>0</v>
      </c>
      <c r="AG126">
        <v>1</v>
      </c>
      <c r="AK126" s="23">
        <f>SUM(Tabel2[[#This Row],[V 4]]*10+Tabel2[[#This Row],[GT 4]])/Tabel2[[#This Row],[AW 4]]*10+Tabel2[[#This Row],[BONUS 4]]</f>
        <v>0</v>
      </c>
      <c r="AM126">
        <v>1</v>
      </c>
      <c r="AQ126" s="23">
        <f>SUM(Tabel2[[#This Row],[V 5]]*10+Tabel2[[#This Row],[GT 5]])/Tabel2[[#This Row],[AW 5]]*10+Tabel2[[#This Row],[BONUS 5]]</f>
        <v>0</v>
      </c>
      <c r="AS126">
        <v>1</v>
      </c>
      <c r="AW126" s="23">
        <f>SUM(Tabel2[[#This Row],[V 6]]*10+Tabel2[[#This Row],[GT 6]])/Tabel2[[#This Row],[AW 6]]*10+Tabel2[[#This Row],[BONUS 6]]</f>
        <v>0</v>
      </c>
      <c r="AY126">
        <v>1</v>
      </c>
      <c r="BC126" s="23">
        <f>SUM(Tabel2[[#This Row],[V 7]]*10+Tabel2[[#This Row],[GT 7]])/Tabel2[[#This Row],[AW 7]]*10+Tabel2[[#This Row],[BONUS 7]]</f>
        <v>0</v>
      </c>
      <c r="BE126">
        <v>1</v>
      </c>
      <c r="BI126" s="23">
        <f>SUM(Tabel2[[#This Row],[V 8]]*10+Tabel2[[#This Row],[GT 8]])/Tabel2[[#This Row],[AW 8]]*10+Tabel2[[#This Row],[BONUS 8]]</f>
        <v>0</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30">
        <f>Tabel2[[#This Row],[Diploma]]-Tabel2[[#This Row],[Uitgeschreven]]</f>
        <v>0</v>
      </c>
      <c r="BY126" s="2" t="str">
        <f>IF(BX126=0,"geen actie",CONCATENATE("diploma uitschrijven: ",BV126," punten"))</f>
        <v>geen actie</v>
      </c>
      <c r="CA126" s="150">
        <f>Tabel2[[#This Row],[pnt t/m 2021/22]]</f>
        <v>0</v>
      </c>
      <c r="CB126" s="150">
        <f>Tabel2[[#This Row],[pnt 2022/2023]]</f>
        <v>118.75</v>
      </c>
      <c r="CC126" s="150">
        <f t="shared" si="12"/>
        <v>118.75</v>
      </c>
      <c r="CD126" s="150">
        <f>IF(Tabel2[[#This Row],[LPR 1]]&gt;0,1,0)</f>
        <v>0</v>
      </c>
      <c r="CE126" s="150">
        <f>IF(Tabel2[[#This Row],[LPR 2]]&gt;0,1,0)</f>
        <v>1</v>
      </c>
      <c r="CF126" s="150">
        <f>IF(Tabel2[[#This Row],[LPR 3]]&gt;0,1,0)</f>
        <v>0</v>
      </c>
      <c r="CG126" s="150">
        <f>IF(Tabel2[[#This Row],[LPR 4]]&gt;0,1,0)</f>
        <v>0</v>
      </c>
      <c r="CH126" s="150">
        <f>IF(Tabel2[[#This Row],[LPR 5]]&gt;0,1,0)</f>
        <v>0</v>
      </c>
      <c r="CI126" s="150">
        <f>IF(Tabel2[[#This Row],[LPR 6]]&gt;0,1,0)</f>
        <v>0</v>
      </c>
      <c r="CJ126" s="150">
        <f>IF(Tabel2[[#This Row],[LPR 7]]&gt;0,1,0)</f>
        <v>0</v>
      </c>
      <c r="CK126" s="150">
        <f>IF(Tabel2[[#This Row],[LPR 8]]&gt;0,1,0)</f>
        <v>0</v>
      </c>
      <c r="CL126" s="150">
        <f>IF(Tabel2[[#This Row],[LPR 9]]&gt;0,1,0)</f>
        <v>0</v>
      </c>
      <c r="CM126" s="150">
        <f>IF(Tabel2[[#This Row],[LPR 10]]&gt;0,1,0)</f>
        <v>0</v>
      </c>
      <c r="CN126" s="150">
        <f>SUM(Tabel7[[#This Row],[sep]:[jun]])</f>
        <v>1</v>
      </c>
      <c r="CO126" s="22" t="str">
        <f t="shared" si="7"/>
        <v/>
      </c>
      <c r="CP126" s="22" t="str">
        <f t="shared" si="8"/>
        <v/>
      </c>
      <c r="CQ126" s="22" t="str">
        <f t="shared" si="9"/>
        <v/>
      </c>
      <c r="CR126" s="22" t="str">
        <f t="shared" si="10"/>
        <v/>
      </c>
      <c r="CS126" s="22" t="str">
        <f t="shared" si="11"/>
        <v/>
      </c>
    </row>
    <row r="127" spans="1:97" x14ac:dyDescent="0.3">
      <c r="A127" s="22" t="s">
        <v>145</v>
      </c>
      <c r="B127" s="22" t="s">
        <v>778</v>
      </c>
      <c r="D127" s="22" t="s">
        <v>137</v>
      </c>
      <c r="E127" t="s">
        <v>288</v>
      </c>
      <c r="F127" s="22">
        <v>120464</v>
      </c>
      <c r="G127" s="25" t="s">
        <v>149</v>
      </c>
      <c r="H127" s="23">
        <f>Tabel2[[#This Row],[pnt t/m 2021/22]]+Tabel2[[#This Row],[pnt 2022/2023]]</f>
        <v>53.75</v>
      </c>
      <c r="I127">
        <v>2013</v>
      </c>
      <c r="J127">
        <v>2023</v>
      </c>
      <c r="K127" s="24">
        <f>Tabel2[[#This Row],[ijkdatum]]-Tabel2[[#This Row],[Geboren]]</f>
        <v>10</v>
      </c>
      <c r="L127" s="26">
        <f>Tabel2[[#This Row],[TTL 1]]+Tabel2[[#This Row],[TTL 2]]+Tabel2[[#This Row],[TTL 3]]+Tabel2[[#This Row],[TTL 4]]+Tabel2[[#This Row],[TTL 5]]+Tabel2[[#This Row],[TTL 6]]+Tabel2[[#This Row],[TTL 7]]+Tabel2[[#This Row],[TTL 8]]+Tabel2[[#This Row],[TTL 9]]+Tabel2[[#This Row],[TTL 10]]</f>
        <v>0</v>
      </c>
      <c r="M127" s="153">
        <v>53.75</v>
      </c>
      <c r="O127">
        <v>1</v>
      </c>
      <c r="S127" s="153">
        <f>SUM(Tabel2[[#This Row],[V 1]]*10+Tabel2[[#This Row],[GT 1]])/Tabel2[[#This Row],[AW 1]]*10+Tabel2[[#This Row],[BONUS 1]]</f>
        <v>0</v>
      </c>
      <c r="U127">
        <v>1</v>
      </c>
      <c r="Y127" s="23">
        <f>SUM(Tabel2[[#This Row],[V 2]]*10+Tabel2[[#This Row],[GT 2]])/Tabel2[[#This Row],[AW 2]]*10+Tabel2[[#This Row],[BONUS 2]]</f>
        <v>0</v>
      </c>
      <c r="AA127">
        <v>1</v>
      </c>
      <c r="AE127" s="23">
        <f>SUM(Tabel2[[#This Row],[V 3]]*10+Tabel2[[#This Row],[GT 3]])/Tabel2[[#This Row],[AW 3]]*10+Tabel2[[#This Row],[BONUS 3]]</f>
        <v>0</v>
      </c>
      <c r="AG127">
        <v>1</v>
      </c>
      <c r="AK127" s="23">
        <f>SUM(Tabel2[[#This Row],[V 4]]*10+Tabel2[[#This Row],[GT 4]])/Tabel2[[#This Row],[AW 4]]*10+Tabel2[[#This Row],[BONUS 4]]</f>
        <v>0</v>
      </c>
      <c r="AM127">
        <v>1</v>
      </c>
      <c r="AQ127" s="23">
        <f>SUM(Tabel2[[#This Row],[V 5]]*10+Tabel2[[#This Row],[GT 5]])/Tabel2[[#This Row],[AW 5]]*10+Tabel2[[#This Row],[BONUS 5]]</f>
        <v>0</v>
      </c>
      <c r="AS127">
        <v>1</v>
      </c>
      <c r="AW127" s="23">
        <f>SUM(Tabel2[[#This Row],[V 6]]*10+Tabel2[[#This Row],[GT 6]])/Tabel2[[#This Row],[AW 6]]*10+Tabel2[[#This Row],[BONUS 6]]</f>
        <v>0</v>
      </c>
      <c r="AY127">
        <v>1</v>
      </c>
      <c r="BC127" s="23">
        <f>SUM(Tabel2[[#This Row],[V 7]]*10+Tabel2[[#This Row],[GT 7]])/Tabel2[[#This Row],[AW 7]]*10+Tabel2[[#This Row],[BONUS 7]]</f>
        <v>0</v>
      </c>
      <c r="BE127">
        <v>1</v>
      </c>
      <c r="BI127" s="23">
        <f>SUM(Tabel2[[#This Row],[V 8]]*10+Tabel2[[#This Row],[GT 8]])/Tabel2[[#This Row],[AW 8]]*10+Tabel2[[#This Row],[BONUS 8]]</f>
        <v>0</v>
      </c>
      <c r="BK127">
        <v>1</v>
      </c>
      <c r="BO127" s="23">
        <f>SUM(Tabel2[[#This Row],[V 9]]*10+Tabel2[[#This Row],[GT 9]])/Tabel2[[#This Row],[AW 9]]*10+Tabel2[[#This Row],[BONUS 9]]</f>
        <v>0</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7" s="22">
        <v>0</v>
      </c>
      <c r="BX127" s="22">
        <f>Tabel2[[#This Row],[Diploma]]-Tabel2[[#This Row],[Uitgeschreven]]</f>
        <v>0</v>
      </c>
      <c r="BY127" s="155" t="str">
        <f>IF(BX127=0,"geen actie",CONCATENATE("diploma uitschrijven: ",BV127," punten"))</f>
        <v>geen actie</v>
      </c>
      <c r="CA127" s="150">
        <f>Tabel2[[#This Row],[pnt t/m 2021/22]]</f>
        <v>53.75</v>
      </c>
      <c r="CB127" s="150">
        <f>Tabel2[[#This Row],[pnt 2022/2023]]</f>
        <v>0</v>
      </c>
      <c r="CC127" s="150">
        <f t="shared" si="12"/>
        <v>53.75</v>
      </c>
      <c r="CD127" s="150">
        <f>IF(Tabel2[[#This Row],[LPR 1]]&gt;0,1,0)</f>
        <v>0</v>
      </c>
      <c r="CE127" s="150">
        <f>IF(Tabel2[[#This Row],[LPR 2]]&gt;0,1,0)</f>
        <v>0</v>
      </c>
      <c r="CF127" s="150">
        <f>IF(Tabel2[[#This Row],[LPR 3]]&gt;0,1,0)</f>
        <v>0</v>
      </c>
      <c r="CG127" s="150">
        <f>IF(Tabel2[[#This Row],[LPR 4]]&gt;0,1,0)</f>
        <v>0</v>
      </c>
      <c r="CH127" s="150">
        <f>IF(Tabel2[[#This Row],[LPR 5]]&gt;0,1,0)</f>
        <v>0</v>
      </c>
      <c r="CI127" s="150">
        <f>IF(Tabel2[[#This Row],[LPR 6]]&gt;0,1,0)</f>
        <v>0</v>
      </c>
      <c r="CJ127" s="150">
        <f>IF(Tabel2[[#This Row],[LPR 7]]&gt;0,1,0)</f>
        <v>0</v>
      </c>
      <c r="CK127" s="150">
        <f>IF(Tabel2[[#This Row],[LPR 8]]&gt;0,1,0)</f>
        <v>0</v>
      </c>
      <c r="CL127" s="150">
        <f>IF(Tabel2[[#This Row],[LPR 9]]&gt;0,1,0)</f>
        <v>0</v>
      </c>
      <c r="CM127" s="150">
        <f>IF(Tabel2[[#This Row],[LPR 10]]&gt;0,1,0)</f>
        <v>0</v>
      </c>
      <c r="CN127" s="150">
        <f>SUM(Tabel7[[#This Row],[sep]:[jun]])</f>
        <v>0</v>
      </c>
      <c r="CO127" s="22" t="str">
        <f t="shared" si="7"/>
        <v/>
      </c>
      <c r="CP127" s="22" t="str">
        <f t="shared" si="8"/>
        <v/>
      </c>
      <c r="CQ127" s="22" t="str">
        <f t="shared" si="9"/>
        <v/>
      </c>
      <c r="CR127" s="22" t="str">
        <f t="shared" si="10"/>
        <v/>
      </c>
      <c r="CS127" s="22" t="str">
        <f t="shared" si="11"/>
        <v/>
      </c>
    </row>
    <row r="128" spans="1:97" x14ac:dyDescent="0.3">
      <c r="A128" s="22" t="s">
        <v>143</v>
      </c>
      <c r="B128" s="22" t="s">
        <v>778</v>
      </c>
      <c r="D128" s="22" t="s">
        <v>783</v>
      </c>
      <c r="E128" t="s">
        <v>289</v>
      </c>
      <c r="F128" s="22">
        <v>118963</v>
      </c>
      <c r="G128" s="25" t="s">
        <v>180</v>
      </c>
      <c r="H128" s="142">
        <f>Tabel2[[#This Row],[pnt t/m 2021/22]]+Tabel2[[#This Row],[pnt 2022/2023]]</f>
        <v>950.58333333333337</v>
      </c>
      <c r="I128">
        <v>2007</v>
      </c>
      <c r="J128">
        <v>2023</v>
      </c>
      <c r="K128" s="24">
        <f>Tabel2[[#This Row],[ijkdatum]]-Tabel2[[#This Row],[Geboren]]</f>
        <v>16</v>
      </c>
      <c r="L128" s="26">
        <f>Tabel2[[#This Row],[TTL 1]]+Tabel2[[#This Row],[TTL 2]]+Tabel2[[#This Row],[TTL 3]]+Tabel2[[#This Row],[TTL 4]]+Tabel2[[#This Row],[TTL 5]]+Tabel2[[#This Row],[TTL 6]]+Tabel2[[#This Row],[TTL 7]]+Tabel2[[#This Row],[TTL 8]]+Tabel2[[#This Row],[TTL 9]]+Tabel2[[#This Row],[TTL 10]]</f>
        <v>38.75</v>
      </c>
      <c r="M128" s="141">
        <v>911.83333333333337</v>
      </c>
      <c r="N128">
        <v>5</v>
      </c>
      <c r="O128">
        <v>8</v>
      </c>
      <c r="P128">
        <v>1</v>
      </c>
      <c r="Q128">
        <v>21</v>
      </c>
      <c r="S128" s="23">
        <f>SUM(Tabel2[[#This Row],[V 1]]*10+Tabel2[[#This Row],[GT 1]])/Tabel2[[#This Row],[AW 1]]*10+Tabel2[[#This Row],[BONUS 1]]</f>
        <v>38.75</v>
      </c>
      <c r="U128">
        <v>1</v>
      </c>
      <c r="Y128" s="23">
        <f>SUM(Tabel2[[#This Row],[V 2]]*10+Tabel2[[#This Row],[GT 2]])/Tabel2[[#This Row],[AW 2]]*10+Tabel2[[#This Row],[BONUS 2]]</f>
        <v>0</v>
      </c>
      <c r="AA128">
        <v>1</v>
      </c>
      <c r="AE128" s="23">
        <f>SUM(Tabel2[[#This Row],[V 3]]*10+Tabel2[[#This Row],[GT 3]])/Tabel2[[#This Row],[AW 3]]*10+Tabel2[[#This Row],[BONUS 3]]</f>
        <v>0</v>
      </c>
      <c r="AG128">
        <v>1</v>
      </c>
      <c r="AK128" s="23">
        <f>SUM(Tabel2[[#This Row],[V 4]]*10+Tabel2[[#This Row],[GT 4]])/Tabel2[[#This Row],[AW 4]]*10+Tabel2[[#This Row],[BONUS 4]]</f>
        <v>0</v>
      </c>
      <c r="AM128">
        <v>1</v>
      </c>
      <c r="AQ128" s="23">
        <f>SUM(Tabel2[[#This Row],[V 5]]*10+Tabel2[[#This Row],[GT 5]])/Tabel2[[#This Row],[AW 5]]*10+Tabel2[[#This Row],[BONUS 5]]</f>
        <v>0</v>
      </c>
      <c r="AS128">
        <v>1</v>
      </c>
      <c r="AW128" s="23">
        <f>SUM(Tabel2[[#This Row],[V 6]]*10+Tabel2[[#This Row],[GT 6]])/Tabel2[[#This Row],[AW 6]]*10+Tabel2[[#This Row],[BONUS 6]]</f>
        <v>0</v>
      </c>
      <c r="AY128">
        <v>1</v>
      </c>
      <c r="BC128" s="23">
        <f>SUM(Tabel2[[#This Row],[V 7]]*10+Tabel2[[#This Row],[GT 7]])/Tabel2[[#This Row],[AW 7]]*10+Tabel2[[#This Row],[BONUS 7]]</f>
        <v>0</v>
      </c>
      <c r="BE128">
        <v>1</v>
      </c>
      <c r="BI128" s="23">
        <f>SUM(Tabel2[[#This Row],[V 8]]*10+Tabel2[[#This Row],[GT 8]])/Tabel2[[#This Row],[AW 8]]*10+Tabel2[[#This Row],[BONUS 8]]</f>
        <v>0</v>
      </c>
      <c r="BK128">
        <v>1</v>
      </c>
      <c r="BO128" s="2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8" s="22">
        <v>750</v>
      </c>
      <c r="BX128" s="30">
        <f>Tabel2[[#This Row],[Diploma]]-Tabel2[[#This Row],[Uitgeschreven]]</f>
        <v>0</v>
      </c>
      <c r="BY128" s="2" t="str">
        <f>IF(BX128=0,"geen actie",CONCATENATE("diploma uitschrijven: ",BV128," punten"))</f>
        <v>geen actie</v>
      </c>
      <c r="CA128" s="150">
        <f>Tabel2[[#This Row],[pnt t/m 2021/22]]</f>
        <v>911.83333333333337</v>
      </c>
      <c r="CB128" s="150">
        <f>Tabel2[[#This Row],[pnt 2022/2023]]</f>
        <v>38.75</v>
      </c>
      <c r="CC128" s="150">
        <f t="shared" si="12"/>
        <v>950.58333333333337</v>
      </c>
      <c r="CD128" s="150">
        <f>IF(Tabel2[[#This Row],[LPR 1]]&gt;0,1,0)</f>
        <v>1</v>
      </c>
      <c r="CE128" s="150">
        <f>IF(Tabel2[[#This Row],[LPR 2]]&gt;0,1,0)</f>
        <v>0</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1</v>
      </c>
      <c r="CO128" s="22" t="str">
        <f t="shared" si="7"/>
        <v/>
      </c>
      <c r="CP128" s="22" t="str">
        <f t="shared" si="8"/>
        <v/>
      </c>
      <c r="CQ128" s="22" t="str">
        <f t="shared" si="9"/>
        <v/>
      </c>
      <c r="CR128" s="22" t="str">
        <f t="shared" si="10"/>
        <v/>
      </c>
      <c r="CS128" s="22" t="str">
        <f t="shared" si="11"/>
        <v/>
      </c>
    </row>
    <row r="129" spans="1:97" x14ac:dyDescent="0.3">
      <c r="A129" s="22" t="s">
        <v>143</v>
      </c>
      <c r="B129" s="22" t="s">
        <v>778</v>
      </c>
      <c r="D129" s="22" t="s">
        <v>783</v>
      </c>
      <c r="E129" t="s">
        <v>283</v>
      </c>
      <c r="F129" s="22">
        <v>117409</v>
      </c>
      <c r="G129" s="25" t="s">
        <v>147</v>
      </c>
      <c r="H129" s="142">
        <f>Tabel2[[#This Row],[pnt t/m 2021/22]]+Tabel2[[#This Row],[pnt 2022/2023]]</f>
        <v>2657.232600732601</v>
      </c>
      <c r="I129">
        <v>2007</v>
      </c>
      <c r="J129">
        <v>2022</v>
      </c>
      <c r="K129" s="24">
        <f>Tabel2[[#This Row],[ijkdatum]]-Tabel2[[#This Row],[Geboren]]</f>
        <v>15</v>
      </c>
      <c r="L129" s="26">
        <f>Tabel2[[#This Row],[TTL 1]]+Tabel2[[#This Row],[TTL 2]]+Tabel2[[#This Row],[TTL 3]]+Tabel2[[#This Row],[TTL 4]]+Tabel2[[#This Row],[TTL 5]]+Tabel2[[#This Row],[TTL 6]]+Tabel2[[#This Row],[TTL 7]]+Tabel2[[#This Row],[TTL 8]]+Tabel2[[#This Row],[TTL 9]]+Tabel2[[#This Row],[TTL 10]]</f>
        <v>222.91666666666666</v>
      </c>
      <c r="M129" s="141">
        <v>2434.3159340659345</v>
      </c>
      <c r="N129">
        <v>5</v>
      </c>
      <c r="O129">
        <v>8</v>
      </c>
      <c r="P129">
        <v>7</v>
      </c>
      <c r="Q129">
        <v>39</v>
      </c>
      <c r="S129" s="23">
        <f>SUM(Tabel2[[#This Row],[V 1]]*10+Tabel2[[#This Row],[GT 1]])/Tabel2[[#This Row],[AW 1]]*10+Tabel2[[#This Row],[BONUS 1]]</f>
        <v>136.25</v>
      </c>
      <c r="T129">
        <v>4</v>
      </c>
      <c r="U129">
        <v>12</v>
      </c>
      <c r="V129">
        <v>6</v>
      </c>
      <c r="W129">
        <v>44</v>
      </c>
      <c r="Y129" s="23">
        <f>SUM(Tabel2[[#This Row],[V 2]]*10+Tabel2[[#This Row],[GT 2]])/Tabel2[[#This Row],[AW 2]]*10+Tabel2[[#This Row],[BONUS 2]]</f>
        <v>86.666666666666657</v>
      </c>
      <c r="AA129">
        <v>1</v>
      </c>
      <c r="AE129" s="23">
        <f>SUM(Tabel2[[#This Row],[V 3]]*10+Tabel2[[#This Row],[GT 3]])/Tabel2[[#This Row],[AW 3]]*10+Tabel2[[#This Row],[BONUS 3]]</f>
        <v>0</v>
      </c>
      <c r="AG129">
        <v>1</v>
      </c>
      <c r="AK129" s="23">
        <f>SUM(Tabel2[[#This Row],[V 4]]*10+Tabel2[[#This Row],[GT 4]])/Tabel2[[#This Row],[AW 4]]*10+Tabel2[[#This Row],[BONUS 4]]</f>
        <v>0</v>
      </c>
      <c r="AM129">
        <v>1</v>
      </c>
      <c r="AQ129" s="23">
        <f>SUM(Tabel2[[#This Row],[V 5]]*10+Tabel2[[#This Row],[GT 5]])/Tabel2[[#This Row],[AW 5]]*10+Tabel2[[#This Row],[BONUS 5]]</f>
        <v>0</v>
      </c>
      <c r="AS129">
        <v>1</v>
      </c>
      <c r="AW129" s="23">
        <f>SUM(Tabel2[[#This Row],[V 6]]*10+Tabel2[[#This Row],[GT 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29" s="22">
        <v>2500</v>
      </c>
      <c r="BX129" s="30">
        <f>Tabel2[[#This Row],[Diploma]]-Tabel2[[#This Row],[Uitgeschreven]]</f>
        <v>0</v>
      </c>
      <c r="BY129" s="2" t="str">
        <f>IF(BX129=0,"geen actie",CONCATENATE("diploma uitschrijven: ",BV129," punten"))</f>
        <v>geen actie</v>
      </c>
      <c r="CA129" s="150">
        <f>Tabel2[[#This Row],[pnt t/m 2021/22]]</f>
        <v>2434.3159340659345</v>
      </c>
      <c r="CB129" s="150">
        <f>Tabel2[[#This Row],[pnt 2022/2023]]</f>
        <v>222.91666666666666</v>
      </c>
      <c r="CC129" s="150">
        <f t="shared" si="12"/>
        <v>2657.232600732601</v>
      </c>
      <c r="CD129" s="150">
        <f>IF(Tabel2[[#This Row],[LPR 1]]&gt;0,1,0)</f>
        <v>1</v>
      </c>
      <c r="CE129" s="150">
        <f>IF(Tabel2[[#This Row],[LPR 2]]&gt;0,1,0)</f>
        <v>1</v>
      </c>
      <c r="CF129" s="150">
        <f>IF(Tabel2[[#This Row],[LPR 3]]&gt;0,1,0)</f>
        <v>0</v>
      </c>
      <c r="CG129" s="150">
        <f>IF(Tabel2[[#This Row],[LPR 4]]&gt;0,1,0)</f>
        <v>0</v>
      </c>
      <c r="CH129" s="150">
        <f>IF(Tabel2[[#This Row],[LPR 5]]&gt;0,1,0)</f>
        <v>0</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2</v>
      </c>
      <c r="CO129" s="22" t="str">
        <f t="shared" si="7"/>
        <v/>
      </c>
      <c r="CP129" s="22" t="str">
        <f t="shared" si="8"/>
        <v/>
      </c>
      <c r="CQ129" s="22" t="str">
        <f t="shared" si="9"/>
        <v/>
      </c>
      <c r="CR129" s="22" t="str">
        <f t="shared" si="10"/>
        <v>x</v>
      </c>
      <c r="CS129" s="22" t="str">
        <f t="shared" si="11"/>
        <v/>
      </c>
    </row>
    <row r="130" spans="1:97" x14ac:dyDescent="0.3">
      <c r="A130" s="22" t="s">
        <v>145</v>
      </c>
      <c r="B130" s="22" t="s">
        <v>778</v>
      </c>
      <c r="D130" s="22" t="s">
        <v>137</v>
      </c>
      <c r="E130" t="s">
        <v>291</v>
      </c>
      <c r="G130" s="25" t="s">
        <v>159</v>
      </c>
      <c r="H130" s="142">
        <f>Tabel2[[#This Row],[pnt t/m 2021/22]]+Tabel2[[#This Row],[pnt 2022/2023]]</f>
        <v>316.22727272727275</v>
      </c>
      <c r="I130">
        <v>2010</v>
      </c>
      <c r="J130">
        <v>2023</v>
      </c>
      <c r="K130" s="24">
        <f>Tabel2[[#This Row],[ijkdatum]]-Tabel2[[#This Row],[Geboren]]</f>
        <v>13</v>
      </c>
      <c r="L130" s="26">
        <f>Tabel2[[#This Row],[TTL 1]]+Tabel2[[#This Row],[TTL 2]]+Tabel2[[#This Row],[TTL 3]]+Tabel2[[#This Row],[TTL 4]]+Tabel2[[#This Row],[TTL 5]]+Tabel2[[#This Row],[TTL 6]]+Tabel2[[#This Row],[TTL 7]]+Tabel2[[#This Row],[TTL 8]]+Tabel2[[#This Row],[TTL 9]]+Tabel2[[#This Row],[TTL 10]]</f>
        <v>0</v>
      </c>
      <c r="M130" s="141">
        <v>316.22727272727275</v>
      </c>
      <c r="O130">
        <v>1</v>
      </c>
      <c r="S130" s="23">
        <f>SUM(Tabel2[[#This Row],[V 1]]*10+Tabel2[[#This Row],[GT 1]])/Tabel2[[#This Row],[AW 1]]*10+Tabel2[[#This Row],[BONUS 1]]</f>
        <v>0</v>
      </c>
      <c r="U130">
        <v>1</v>
      </c>
      <c r="Y130" s="23">
        <f>SUM(Tabel2[[#This Row],[V 2]]*10+Tabel2[[#This Row],[GT 2]])/Tabel2[[#This Row],[AW 2]]*10+Tabel2[[#This Row],[BONUS 2]]</f>
        <v>0</v>
      </c>
      <c r="AA130">
        <v>1</v>
      </c>
      <c r="AE130" s="23">
        <f>SUM(Tabel2[[#This Row],[V 3]]*10+Tabel2[[#This Row],[GT 3]])/Tabel2[[#This Row],[AW 3]]*10+Tabel2[[#This Row],[BONUS 3]]</f>
        <v>0</v>
      </c>
      <c r="AG130">
        <v>1</v>
      </c>
      <c r="AK130" s="23">
        <f>SUM(Tabel2[[#This Row],[V 4]]*10+Tabel2[[#This Row],[GT 4]])/Tabel2[[#This Row],[AW 4]]*10+Tabel2[[#This Row],[BONUS 4]]</f>
        <v>0</v>
      </c>
      <c r="AM130">
        <v>1</v>
      </c>
      <c r="AQ130" s="23">
        <f>SUM(Tabel2[[#This Row],[V 5]]*10+Tabel2[[#This Row],[GT 5]])/Tabel2[[#This Row],[AW 5]]*10+Tabel2[[#This Row],[BONUS 5]]</f>
        <v>0</v>
      </c>
      <c r="AS130">
        <v>1</v>
      </c>
      <c r="AW130" s="23">
        <f>SUM(Tabel2[[#This Row],[V 6]]*10+Tabel2[[#This Row],[GT 6]])/Tabel2[[#This Row],[AW 6]]*10+Tabel2[[#This Row],[BONUS 6]]</f>
        <v>0</v>
      </c>
      <c r="AY130">
        <v>1</v>
      </c>
      <c r="BC130" s="23">
        <f>SUM(Tabel2[[#This Row],[V 7]]*10+Tabel2[[#This Row],[GT 7]])/Tabel2[[#This Row],[AW 7]]*10+Tabel2[[#This Row],[BONUS 7]]</f>
        <v>0</v>
      </c>
      <c r="BE130">
        <v>1</v>
      </c>
      <c r="BI130" s="23">
        <f>SUM(Tabel2[[#This Row],[V 8]]*10+Tabel2[[#This Row],[GT 8]])/Tabel2[[#This Row],[AW 8]]*10+Tabel2[[#This Row],[BONUS 8]]</f>
        <v>0</v>
      </c>
      <c r="BK130">
        <v>1</v>
      </c>
      <c r="BO130" s="23">
        <f>SUM(Tabel2[[#This Row],[V 9]]*10+Tabel2[[#This Row],[GT 9]])/Tabel2[[#This Row],[AW 9]]*10+Tabel2[[#This Row],[BONUS 9]]</f>
        <v>0</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0" s="22">
        <v>250</v>
      </c>
      <c r="BX130" s="30">
        <f>Tabel2[[#This Row],[Diploma]]-Tabel2[[#This Row],[Uitgeschreven]]</f>
        <v>0</v>
      </c>
      <c r="BY130" s="2" t="str">
        <f>IF(BX130=0,"geen actie",CONCATENATE("diploma uitschrijven: ",BV130," punten"))</f>
        <v>geen actie</v>
      </c>
      <c r="CA130" s="150">
        <f>Tabel2[[#This Row],[pnt t/m 2021/22]]</f>
        <v>316.22727272727275</v>
      </c>
      <c r="CB130" s="150">
        <f>Tabel2[[#This Row],[pnt 2022/2023]]</f>
        <v>0</v>
      </c>
      <c r="CC130" s="150">
        <f t="shared" si="12"/>
        <v>316.22727272727275</v>
      </c>
      <c r="CD130" s="150">
        <f>IF(Tabel2[[#This Row],[LPR 1]]&gt;0,1,0)</f>
        <v>0</v>
      </c>
      <c r="CE130" s="150">
        <f>IF(Tabel2[[#This Row],[LPR 2]]&gt;0,1,0)</f>
        <v>0</v>
      </c>
      <c r="CF130" s="150">
        <f>IF(Tabel2[[#This Row],[LPR 3]]&gt;0,1,0)</f>
        <v>0</v>
      </c>
      <c r="CG130" s="150">
        <f>IF(Tabel2[[#This Row],[LPR 4]]&gt;0,1,0)</f>
        <v>0</v>
      </c>
      <c r="CH130" s="150">
        <f>IF(Tabel2[[#This Row],[LPR 5]]&gt;0,1,0)</f>
        <v>0</v>
      </c>
      <c r="CI130" s="150">
        <f>IF(Tabel2[[#This Row],[LPR 6]]&gt;0,1,0)</f>
        <v>0</v>
      </c>
      <c r="CJ130" s="150">
        <f>IF(Tabel2[[#This Row],[LPR 7]]&gt;0,1,0)</f>
        <v>0</v>
      </c>
      <c r="CK130" s="150">
        <f>IF(Tabel2[[#This Row],[LPR 8]]&gt;0,1,0)</f>
        <v>0</v>
      </c>
      <c r="CL130" s="150">
        <f>IF(Tabel2[[#This Row],[LPR 9]]&gt;0,1,0)</f>
        <v>0</v>
      </c>
      <c r="CM130" s="150">
        <f>IF(Tabel2[[#This Row],[LPR 10]]&gt;0,1,0)</f>
        <v>0</v>
      </c>
      <c r="CN130" s="150">
        <f>SUM(Tabel7[[#This Row],[sep]:[jun]])</f>
        <v>0</v>
      </c>
      <c r="CO130" s="22" t="str">
        <f t="shared" si="7"/>
        <v/>
      </c>
      <c r="CP130" s="22" t="str">
        <f t="shared" si="8"/>
        <v/>
      </c>
      <c r="CQ130" s="22" t="str">
        <f t="shared" si="9"/>
        <v/>
      </c>
      <c r="CR130" s="22" t="str">
        <f t="shared" si="10"/>
        <v/>
      </c>
      <c r="CS130" s="22" t="str">
        <f t="shared" si="11"/>
        <v/>
      </c>
    </row>
    <row r="131" spans="1:97" x14ac:dyDescent="0.3">
      <c r="A131" s="22" t="s">
        <v>143</v>
      </c>
      <c r="B131" s="22" t="s">
        <v>778</v>
      </c>
      <c r="D131" s="22" t="s">
        <v>137</v>
      </c>
      <c r="E131" t="s">
        <v>292</v>
      </c>
      <c r="F131" s="22">
        <v>118092</v>
      </c>
      <c r="G131" s="25" t="s">
        <v>161</v>
      </c>
      <c r="H131" s="142">
        <f>Tabel2[[#This Row],[pnt t/m 2021/22]]+Tabel2[[#This Row],[pnt 2022/2023]]</f>
        <v>452.74603174603175</v>
      </c>
      <c r="I131">
        <v>2008</v>
      </c>
      <c r="J131">
        <v>2023</v>
      </c>
      <c r="K131" s="24">
        <f>Tabel2[[#This Row],[ijkdatum]]-Tabel2[[#This Row],[Geboren]]</f>
        <v>15</v>
      </c>
      <c r="L131" s="26">
        <f>Tabel2[[#This Row],[TTL 1]]+Tabel2[[#This Row],[TTL 2]]+Tabel2[[#This Row],[TTL 3]]+Tabel2[[#This Row],[TTL 4]]+Tabel2[[#This Row],[TTL 5]]+Tabel2[[#This Row],[TTL 6]]+Tabel2[[#This Row],[TTL 7]]+Tabel2[[#This Row],[TTL 8]]+Tabel2[[#This Row],[TTL 9]]+Tabel2[[#This Row],[TTL 10]]</f>
        <v>0</v>
      </c>
      <c r="M131" s="141">
        <v>452.74603174603175</v>
      </c>
      <c r="O131">
        <v>1</v>
      </c>
      <c r="S131" s="23">
        <f>SUM(Tabel2[[#This Row],[V 1]]*10+Tabel2[[#This Row],[GT 1]])/Tabel2[[#This Row],[AW 1]]*10+Tabel2[[#This Row],[BONUS 1]]</f>
        <v>0</v>
      </c>
      <c r="U131">
        <v>1</v>
      </c>
      <c r="Y131" s="23">
        <f>SUM(Tabel2[[#This Row],[V 2]]*10+Tabel2[[#This Row],[GT 2]])/Tabel2[[#This Row],[AW 2]]*10+Tabel2[[#This Row],[BONUS 2]]</f>
        <v>0</v>
      </c>
      <c r="AA131">
        <v>1</v>
      </c>
      <c r="AE131" s="23">
        <f>SUM(Tabel2[[#This Row],[V 3]]*10+Tabel2[[#This Row],[GT 3]])/Tabel2[[#This Row],[AW 3]]*10+Tabel2[[#This Row],[BONUS 3]]</f>
        <v>0</v>
      </c>
      <c r="AG131">
        <v>1</v>
      </c>
      <c r="AK131" s="23">
        <f>SUM(Tabel2[[#This Row],[V 4]]*10+Tabel2[[#This Row],[GT 4]])/Tabel2[[#This Row],[AW 4]]*10+Tabel2[[#This Row],[BONUS 4]]</f>
        <v>0</v>
      </c>
      <c r="AM131">
        <v>1</v>
      </c>
      <c r="AQ131" s="23">
        <f>SUM(Tabel2[[#This Row],[V 5]]*10+Tabel2[[#This Row],[GT 5]])/Tabel2[[#This Row],[AW 5]]*10+Tabel2[[#This Row],[BONUS 5]]</f>
        <v>0</v>
      </c>
      <c r="AS131">
        <v>1</v>
      </c>
      <c r="AW131" s="23">
        <f>SUM(Tabel2[[#This Row],[V 6]]*10+Tabel2[[#This Row],[GT 6]])/Tabel2[[#This Row],[AW 6]]*10+Tabel2[[#This Row],[BONUS 6]]</f>
        <v>0</v>
      </c>
      <c r="AY131">
        <v>1</v>
      </c>
      <c r="BC131" s="23">
        <f>SUM(Tabel2[[#This Row],[V 7]]*10+Tabel2[[#This Row],[GT 7]])/Tabel2[[#This Row],[AW 7]]*10+Tabel2[[#This Row],[BONUS 7]]</f>
        <v>0</v>
      </c>
      <c r="BE131">
        <v>1</v>
      </c>
      <c r="BI131" s="23">
        <f>SUM(Tabel2[[#This Row],[V 8]]*10+Tabel2[[#This Row],[GT 8]])/Tabel2[[#This Row],[AW 8]]*10+Tabel2[[#This Row],[BONUS 8]]</f>
        <v>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1" s="22">
        <v>250</v>
      </c>
      <c r="BX131" s="30">
        <f>Tabel2[[#This Row],[Diploma]]-Tabel2[[#This Row],[Uitgeschreven]]</f>
        <v>0</v>
      </c>
      <c r="BY131" s="2" t="str">
        <f>IF(BX131=0,"geen actie",CONCATENATE("diploma uitschrijven: ",BV131," punten"))</f>
        <v>geen actie</v>
      </c>
      <c r="CA131" s="150">
        <f>Tabel2[[#This Row],[pnt t/m 2021/22]]</f>
        <v>452.74603174603175</v>
      </c>
      <c r="CB131" s="150">
        <f>Tabel2[[#This Row],[pnt 2022/2023]]</f>
        <v>0</v>
      </c>
      <c r="CC131" s="150">
        <f t="shared" si="12"/>
        <v>452.74603174603175</v>
      </c>
      <c r="CD131" s="150">
        <f>IF(Tabel2[[#This Row],[LPR 1]]&gt;0,1,0)</f>
        <v>0</v>
      </c>
      <c r="CE131" s="150">
        <f>IF(Tabel2[[#This Row],[LPR 2]]&gt;0,1,0)</f>
        <v>0</v>
      </c>
      <c r="CF131" s="150">
        <f>IF(Tabel2[[#This Row],[LPR 3]]&gt;0,1,0)</f>
        <v>0</v>
      </c>
      <c r="CG131" s="150">
        <f>IF(Tabel2[[#This Row],[LPR 4]]&gt;0,1,0)</f>
        <v>0</v>
      </c>
      <c r="CH131" s="150">
        <f>IF(Tabel2[[#This Row],[LPR 5]]&gt;0,1,0)</f>
        <v>0</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0</v>
      </c>
      <c r="CO131" s="22" t="str">
        <f t="shared" si="7"/>
        <v/>
      </c>
      <c r="CP131" s="22" t="str">
        <f t="shared" si="8"/>
        <v/>
      </c>
      <c r="CQ131" s="22" t="str">
        <f t="shared" si="9"/>
        <v/>
      </c>
      <c r="CR131" s="22" t="str">
        <f t="shared" si="10"/>
        <v/>
      </c>
      <c r="CS131" s="22" t="str">
        <f t="shared" si="11"/>
        <v/>
      </c>
    </row>
    <row r="132" spans="1:97" x14ac:dyDescent="0.3">
      <c r="A132" s="22" t="s">
        <v>135</v>
      </c>
      <c r="B132" s="22" t="s">
        <v>778</v>
      </c>
      <c r="D132" s="22" t="s">
        <v>137</v>
      </c>
      <c r="E132" t="s">
        <v>293</v>
      </c>
      <c r="F132" s="22">
        <v>119716</v>
      </c>
      <c r="G132" s="25" t="s">
        <v>177</v>
      </c>
      <c r="H132" s="142">
        <f>Tabel2[[#This Row],[pnt t/m 2021/22]]+Tabel2[[#This Row],[pnt 2022/2023]]</f>
        <v>219</v>
      </c>
      <c r="I132">
        <v>2006</v>
      </c>
      <c r="J132">
        <v>2023</v>
      </c>
      <c r="K132" s="24">
        <f>Tabel2[[#This Row],[ijkdatum]]-Tabel2[[#This Row],[Geboren]]</f>
        <v>17</v>
      </c>
      <c r="L132" s="26">
        <f>Tabel2[[#This Row],[TTL 1]]+Tabel2[[#This Row],[TTL 2]]+Tabel2[[#This Row],[TTL 3]]+Tabel2[[#This Row],[TTL 4]]+Tabel2[[#This Row],[TTL 5]]+Tabel2[[#This Row],[TTL 6]]+Tabel2[[#This Row],[TTL 7]]+Tabel2[[#This Row],[TTL 8]]+Tabel2[[#This Row],[TTL 9]]+Tabel2[[#This Row],[TTL 10]]</f>
        <v>0</v>
      </c>
      <c r="M132" s="141">
        <v>219</v>
      </c>
      <c r="O132">
        <v>1</v>
      </c>
      <c r="S132" s="23">
        <f>SUM(Tabel2[[#This Row],[V 1]]*10+Tabel2[[#This Row],[GT 1]])/Tabel2[[#This Row],[AW 1]]*10+Tabel2[[#This Row],[BONUS 1]]</f>
        <v>0</v>
      </c>
      <c r="U132">
        <v>1</v>
      </c>
      <c r="Y132" s="23">
        <f>SUM(Tabel2[[#This Row],[V 2]]*10+Tabel2[[#This Row],[GT 2]])/Tabel2[[#This Row],[AW 2]]*10+Tabel2[[#This Row],[BONUS 2]]</f>
        <v>0</v>
      </c>
      <c r="AA132">
        <v>1</v>
      </c>
      <c r="AE132" s="23">
        <f>SUM(Tabel2[[#This Row],[V 3]]*10+Tabel2[[#This Row],[GT 3]])/Tabel2[[#This Row],[AW 3]]*10+Tabel2[[#This Row],[BONUS 3]]</f>
        <v>0</v>
      </c>
      <c r="AG132">
        <v>1</v>
      </c>
      <c r="AK132" s="23">
        <f>SUM(Tabel2[[#This Row],[V 4]]*10+Tabel2[[#This Row],[GT 4]])/Tabel2[[#This Row],[AW 4]]*10+Tabel2[[#This Row],[BONUS 4]]</f>
        <v>0</v>
      </c>
      <c r="AM132">
        <v>1</v>
      </c>
      <c r="AQ132" s="23">
        <f>SUM(Tabel2[[#This Row],[V 5]]*10+Tabel2[[#This Row],[GT 5]])/Tabel2[[#This Row],[AW 5]]*10+Tabel2[[#This Row],[BONUS 5]]</f>
        <v>0</v>
      </c>
      <c r="AS132">
        <v>1</v>
      </c>
      <c r="AW132" s="23">
        <f>SUM(Tabel2[[#This Row],[V 6]]*10+Tabel2[[#This Row],[GT 6]])/Tabel2[[#This Row],[AW 6]]*10+Tabel2[[#This Row],[BONUS 6]]</f>
        <v>0</v>
      </c>
      <c r="AY132">
        <v>1</v>
      </c>
      <c r="BC132" s="23">
        <f>SUM(Tabel2[[#This Row],[V 7]]*10+Tabel2[[#This Row],[GT 7]])/Tabel2[[#This Row],[AW 7]]*10+Tabel2[[#This Row],[BONUS 7]]</f>
        <v>0</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30">
        <f>Tabel2[[#This Row],[Diploma]]-Tabel2[[#This Row],[Uitgeschreven]]</f>
        <v>0</v>
      </c>
      <c r="BY132" s="2" t="str">
        <f>IF(BX132=0,"geen actie",CONCATENATE("diploma uitschrijven: ",BV132," punten"))</f>
        <v>geen actie</v>
      </c>
      <c r="CA132" s="150">
        <f>Tabel2[[#This Row],[pnt t/m 2021/22]]</f>
        <v>219</v>
      </c>
      <c r="CB132" s="150">
        <f>Tabel2[[#This Row],[pnt 2022/2023]]</f>
        <v>0</v>
      </c>
      <c r="CC132" s="150">
        <f t="shared" si="12"/>
        <v>219</v>
      </c>
      <c r="CD132" s="150">
        <f>IF(Tabel2[[#This Row],[LPR 1]]&gt;0,1,0)</f>
        <v>0</v>
      </c>
      <c r="CE132" s="150">
        <f>IF(Tabel2[[#This Row],[LPR 2]]&gt;0,1,0)</f>
        <v>0</v>
      </c>
      <c r="CF132" s="150">
        <f>IF(Tabel2[[#This Row],[LPR 3]]&gt;0,1,0)</f>
        <v>0</v>
      </c>
      <c r="CG132" s="150">
        <f>IF(Tabel2[[#This Row],[LPR 4]]&gt;0,1,0)</f>
        <v>0</v>
      </c>
      <c r="CH132" s="150">
        <f>IF(Tabel2[[#This Row],[LPR 5]]&gt;0,1,0)</f>
        <v>0</v>
      </c>
      <c r="CI132" s="150">
        <f>IF(Tabel2[[#This Row],[LPR 6]]&gt;0,1,0)</f>
        <v>0</v>
      </c>
      <c r="CJ132" s="150">
        <f>IF(Tabel2[[#This Row],[LPR 7]]&gt;0,1,0)</f>
        <v>0</v>
      </c>
      <c r="CK132" s="150">
        <f>IF(Tabel2[[#This Row],[LPR 8]]&gt;0,1,0)</f>
        <v>0</v>
      </c>
      <c r="CL132" s="150">
        <f>IF(Tabel2[[#This Row],[LPR 9]]&gt;0,1,0)</f>
        <v>0</v>
      </c>
      <c r="CM132" s="150">
        <f>IF(Tabel2[[#This Row],[LPR 10]]&gt;0,1,0)</f>
        <v>0</v>
      </c>
      <c r="CN132" s="150">
        <f>SUM(Tabel7[[#This Row],[sep]:[jun]])</f>
        <v>0</v>
      </c>
      <c r="CO132" s="22" t="str">
        <f t="shared" si="7"/>
        <v/>
      </c>
      <c r="CP132" s="22" t="str">
        <f t="shared" si="8"/>
        <v/>
      </c>
      <c r="CQ132" s="22" t="str">
        <f t="shared" si="9"/>
        <v/>
      </c>
      <c r="CR132" s="22" t="str">
        <f t="shared" si="10"/>
        <v/>
      </c>
      <c r="CS132" s="22" t="str">
        <f t="shared" si="11"/>
        <v/>
      </c>
    </row>
    <row r="133" spans="1:97" x14ac:dyDescent="0.3">
      <c r="A133" s="22" t="s">
        <v>143</v>
      </c>
      <c r="B133" s="22" t="s">
        <v>778</v>
      </c>
      <c r="D133" s="22" t="s">
        <v>137</v>
      </c>
      <c r="E133" t="s">
        <v>294</v>
      </c>
      <c r="F133" s="22">
        <v>117558</v>
      </c>
      <c r="G133" s="25" t="s">
        <v>151</v>
      </c>
      <c r="H133" s="142">
        <f>Tabel2[[#This Row],[pnt t/m 2021/22]]+Tabel2[[#This Row],[pnt 2022/2023]]</f>
        <v>2492.9675324675304</v>
      </c>
      <c r="I133">
        <v>2006</v>
      </c>
      <c r="J133">
        <v>2023</v>
      </c>
      <c r="K133" s="24">
        <f>Tabel2[[#This Row],[ijkdatum]]-Tabel2[[#This Row],[Geboren]]</f>
        <v>17</v>
      </c>
      <c r="L133" s="26">
        <f>Tabel2[[#This Row],[TTL 1]]+Tabel2[[#This Row],[TTL 2]]+Tabel2[[#This Row],[TTL 3]]+Tabel2[[#This Row],[TTL 4]]+Tabel2[[#This Row],[TTL 5]]+Tabel2[[#This Row],[TTL 6]]+Tabel2[[#This Row],[TTL 7]]+Tabel2[[#This Row],[TTL 8]]+Tabel2[[#This Row],[TTL 9]]+Tabel2[[#This Row],[TTL 10]]</f>
        <v>0</v>
      </c>
      <c r="M133" s="141">
        <v>2492.9675324675304</v>
      </c>
      <c r="O133">
        <v>1</v>
      </c>
      <c r="S133" s="23">
        <f>SUM(Tabel2[[#This Row],[V 1]]*10+Tabel2[[#This Row],[GT 1]])/Tabel2[[#This Row],[AW 1]]*10+Tabel2[[#This Row],[BONUS 1]]</f>
        <v>0</v>
      </c>
      <c r="U133">
        <v>1</v>
      </c>
      <c r="Y133" s="23">
        <f>SUM(Tabel2[[#This Row],[V 2]]*10+Tabel2[[#This Row],[GT 2]])/Tabel2[[#This Row],[AW 2]]*10+Tabel2[[#This Row],[BONUS 2]]</f>
        <v>0</v>
      </c>
      <c r="AA133">
        <v>1</v>
      </c>
      <c r="AE133" s="23">
        <f>SUM(Tabel2[[#This Row],[V 3]]*10+Tabel2[[#This Row],[GT 3]])/Tabel2[[#This Row],[AW 3]]*10+Tabel2[[#This Row],[BONUS 3]]</f>
        <v>0</v>
      </c>
      <c r="AG133">
        <v>1</v>
      </c>
      <c r="AK133" s="23">
        <f>SUM(Tabel2[[#This Row],[V 4]]*10+Tabel2[[#This Row],[GT 4]])/Tabel2[[#This Row],[AW 4]]*10+Tabel2[[#This Row],[BONUS 4]]</f>
        <v>0</v>
      </c>
      <c r="AM133">
        <v>1</v>
      </c>
      <c r="AQ133" s="23">
        <f>SUM(Tabel2[[#This Row],[V 5]]*10+Tabel2[[#This Row],[GT 5]])/Tabel2[[#This Row],[AW 5]]*10+Tabel2[[#This Row],[BONUS 5]]</f>
        <v>0</v>
      </c>
      <c r="AS133">
        <v>1</v>
      </c>
      <c r="AW133" s="23">
        <f>SUM(Tabel2[[#This Row],[V 6]]*10+Tabel2[[#This Row],[GT 6]])/Tabel2[[#This Row],[AW 6]]*10+Tabel2[[#This Row],[BONUS 6]]</f>
        <v>0</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3" s="22">
        <v>2000</v>
      </c>
      <c r="BX133" s="30">
        <f>Tabel2[[#This Row],[Diploma]]-Tabel2[[#This Row],[Uitgeschreven]]</f>
        <v>0</v>
      </c>
      <c r="BY133" s="2" t="str">
        <f>IF(BX133=0,"geen actie",CONCATENATE("diploma uitschrijven: ",BV133," punten"))</f>
        <v>geen actie</v>
      </c>
      <c r="CA133" s="150">
        <f>Tabel2[[#This Row],[pnt t/m 2021/22]]</f>
        <v>2492.9675324675304</v>
      </c>
      <c r="CB133" s="150">
        <f>Tabel2[[#This Row],[pnt 2022/2023]]</f>
        <v>0</v>
      </c>
      <c r="CC133" s="150">
        <f t="shared" si="12"/>
        <v>2492.9675324675304</v>
      </c>
      <c r="CD133" s="150">
        <f>IF(Tabel2[[#This Row],[LPR 1]]&gt;0,1,0)</f>
        <v>0</v>
      </c>
      <c r="CE133" s="150">
        <f>IF(Tabel2[[#This Row],[LPR 2]]&gt;0,1,0)</f>
        <v>0</v>
      </c>
      <c r="CF133" s="150">
        <f>IF(Tabel2[[#This Row],[LPR 3]]&gt;0,1,0)</f>
        <v>0</v>
      </c>
      <c r="CG133" s="150">
        <f>IF(Tabel2[[#This Row],[LPR 4]]&gt;0,1,0)</f>
        <v>0</v>
      </c>
      <c r="CH133" s="150">
        <f>IF(Tabel2[[#This Row],[LPR 5]]&gt;0,1,0)</f>
        <v>0</v>
      </c>
      <c r="CI133" s="150">
        <f>IF(Tabel2[[#This Row],[LPR 6]]&gt;0,1,0)</f>
        <v>0</v>
      </c>
      <c r="CJ133" s="150">
        <f>IF(Tabel2[[#This Row],[LPR 7]]&gt;0,1,0)</f>
        <v>0</v>
      </c>
      <c r="CK133" s="150">
        <f>IF(Tabel2[[#This Row],[LPR 8]]&gt;0,1,0)</f>
        <v>0</v>
      </c>
      <c r="CL133" s="150">
        <f>IF(Tabel2[[#This Row],[LPR 9]]&gt;0,1,0)</f>
        <v>0</v>
      </c>
      <c r="CM133" s="150">
        <f>IF(Tabel2[[#This Row],[LPR 10]]&gt;0,1,0)</f>
        <v>0</v>
      </c>
      <c r="CN133" s="150">
        <f>SUM(Tabel7[[#This Row],[sep]:[jun]])</f>
        <v>0</v>
      </c>
      <c r="CO133" s="22" t="str">
        <f t="shared" si="7"/>
        <v/>
      </c>
      <c r="CP133" s="22" t="str">
        <f t="shared" si="8"/>
        <v/>
      </c>
      <c r="CQ133" s="22" t="str">
        <f t="shared" si="9"/>
        <v/>
      </c>
      <c r="CR133" s="22" t="str">
        <f t="shared" si="10"/>
        <v/>
      </c>
      <c r="CS133" s="22" t="str">
        <f t="shared" si="11"/>
        <v/>
      </c>
    </row>
    <row r="134" spans="1:97" x14ac:dyDescent="0.3">
      <c r="A134" s="22" t="s">
        <v>143</v>
      </c>
      <c r="B134" s="22" t="s">
        <v>778</v>
      </c>
      <c r="D134" s="22" t="s">
        <v>137</v>
      </c>
      <c r="E134" t="s">
        <v>295</v>
      </c>
      <c r="F134" s="22">
        <v>119644</v>
      </c>
      <c r="G134" s="25" t="s">
        <v>165</v>
      </c>
      <c r="H134" s="23">
        <f>Tabel2[[#This Row],[pnt t/m 2021/22]]+Tabel2[[#This Row],[pnt 2022/2023]]</f>
        <v>261.23809523809524</v>
      </c>
      <c r="I134">
        <v>2006</v>
      </c>
      <c r="J134">
        <v>2023</v>
      </c>
      <c r="K134" s="24">
        <f>Tabel2[[#This Row],[ijkdatum]]-Tabel2[[#This Row],[Geboren]]</f>
        <v>17</v>
      </c>
      <c r="L134" s="26">
        <f>Tabel2[[#This Row],[TTL 1]]+Tabel2[[#This Row],[TTL 2]]+Tabel2[[#This Row],[TTL 3]]+Tabel2[[#This Row],[TTL 4]]+Tabel2[[#This Row],[TTL 5]]+Tabel2[[#This Row],[TTL 6]]+Tabel2[[#This Row],[TTL 7]]+Tabel2[[#This Row],[TTL 8]]+Tabel2[[#This Row],[TTL 9]]+Tabel2[[#This Row],[TTL 10]]</f>
        <v>0</v>
      </c>
      <c r="M134" s="153">
        <v>261.23809523809524</v>
      </c>
      <c r="O134">
        <v>1</v>
      </c>
      <c r="S134" s="153">
        <f>SUM(Tabel2[[#This Row],[V 1]]*10+Tabel2[[#This Row],[GT 1]])/Tabel2[[#This Row],[AW 1]]*10+Tabel2[[#This Row],[BONUS 1]]</f>
        <v>0</v>
      </c>
      <c r="U134">
        <v>1</v>
      </c>
      <c r="Y134" s="153">
        <f>SUM(Tabel2[[#This Row],[V 2]]*10+Tabel2[[#This Row],[GT 2]])/Tabel2[[#This Row],[AW 2]]*10+Tabel2[[#This Row],[BONUS 2]]</f>
        <v>0</v>
      </c>
      <c r="AA134">
        <v>1</v>
      </c>
      <c r="AE134" s="153">
        <f>SUM(Tabel2[[#This Row],[V 3]]*10+Tabel2[[#This Row],[GT 3]])/Tabel2[[#This Row],[AW 3]]*10+Tabel2[[#This Row],[BONUS 3]]</f>
        <v>0</v>
      </c>
      <c r="AG134">
        <v>1</v>
      </c>
      <c r="AK134" s="153">
        <f>SUM(Tabel2[[#This Row],[V 4]]*10+Tabel2[[#This Row],[GT 4]])/Tabel2[[#This Row],[AW 4]]*10+Tabel2[[#This Row],[BONUS 4]]</f>
        <v>0</v>
      </c>
      <c r="AM134">
        <v>1</v>
      </c>
      <c r="AQ134" s="153">
        <f>SUM(Tabel2[[#This Row],[V 5]]*10+Tabel2[[#This Row],[GT 5]])/Tabel2[[#This Row],[AW 5]]*10+Tabel2[[#This Row],[BONUS 5]]</f>
        <v>0</v>
      </c>
      <c r="AS134">
        <v>1</v>
      </c>
      <c r="AW134" s="153">
        <f>SUM(Tabel2[[#This Row],[V 6]]*10+Tabel2[[#This Row],[GT 6]])/Tabel2[[#This Row],[AW 6]]*10+Tabel2[[#This Row],[BONUS 6]]</f>
        <v>0</v>
      </c>
      <c r="AY134">
        <v>1</v>
      </c>
      <c r="BC134" s="23">
        <f>SUM(Tabel2[[#This Row],[V 7]]*10+Tabel2[[#This Row],[GT 7]])/Tabel2[[#This Row],[AW 7]]*10+Tabel2[[#This Row],[BONUS 7]]</f>
        <v>0</v>
      </c>
      <c r="BE134">
        <v>1</v>
      </c>
      <c r="BI134" s="153">
        <f>SUM(Tabel2[[#This Row],[V 8]]*10+Tabel2[[#This Row],[GT 8]])/Tabel2[[#This Row],[AW 8]]*10+Tabel2[[#This Row],[BONUS 8]]</f>
        <v>0</v>
      </c>
      <c r="BK134">
        <v>1</v>
      </c>
      <c r="BO134" s="15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4" s="22">
        <v>250</v>
      </c>
      <c r="BX134" s="22">
        <f>Tabel2[[#This Row],[Diploma]]-Tabel2[[#This Row],[Uitgeschreven]]</f>
        <v>0</v>
      </c>
      <c r="BY134" s="155" t="str">
        <f>IF(BX134=0,"geen actie",CONCATENATE("diploma uitschrijven: ",BV134," punten"))</f>
        <v>geen actie</v>
      </c>
      <c r="CA134" s="150">
        <f>Tabel2[[#This Row],[pnt t/m 2021/22]]</f>
        <v>261.23809523809524</v>
      </c>
      <c r="CB134" s="150">
        <f>Tabel2[[#This Row],[pnt 2022/2023]]</f>
        <v>0</v>
      </c>
      <c r="CC134" s="150">
        <f t="shared" si="12"/>
        <v>261.23809523809524</v>
      </c>
      <c r="CD134" s="150">
        <f>IF(Tabel2[[#This Row],[LPR 1]]&gt;0,1,0)</f>
        <v>0</v>
      </c>
      <c r="CE134" s="150">
        <f>IF(Tabel2[[#This Row],[LPR 2]]&gt;0,1,0)</f>
        <v>0</v>
      </c>
      <c r="CF134" s="150">
        <f>IF(Tabel2[[#This Row],[LPR 3]]&gt;0,1,0)</f>
        <v>0</v>
      </c>
      <c r="CG134" s="150">
        <f>IF(Tabel2[[#This Row],[LPR 4]]&gt;0,1,0)</f>
        <v>0</v>
      </c>
      <c r="CH134" s="150">
        <f>IF(Tabel2[[#This Row],[LPR 5]]&gt;0,1,0)</f>
        <v>0</v>
      </c>
      <c r="CI134" s="150">
        <f>IF(Tabel2[[#This Row],[LPR 6]]&gt;0,1,0)</f>
        <v>0</v>
      </c>
      <c r="CJ134" s="150">
        <f>IF(Tabel2[[#This Row],[LPR 7]]&gt;0,1,0)</f>
        <v>0</v>
      </c>
      <c r="CK134" s="150">
        <f>IF(Tabel2[[#This Row],[LPR 8]]&gt;0,1,0)</f>
        <v>0</v>
      </c>
      <c r="CL134" s="150">
        <f>IF(Tabel2[[#This Row],[LPR 9]]&gt;0,1,0)</f>
        <v>0</v>
      </c>
      <c r="CM134" s="150">
        <f>IF(Tabel2[[#This Row],[LPR 10]]&gt;0,1,0)</f>
        <v>0</v>
      </c>
      <c r="CN134" s="150">
        <f>SUM(Tabel7[[#This Row],[sep]:[jun]])</f>
        <v>0</v>
      </c>
      <c r="CO134" s="22" t="str">
        <f t="shared" ref="CO134:CO197" si="13">IF(AND($CA134&lt;1000,$CC134&gt;1000),"x","")</f>
        <v/>
      </c>
      <c r="CP134" s="22" t="str">
        <f t="shared" ref="CP134:CP197" si="14">IF(AND($CA134&lt;1500,$CC134&gt;1500),"x","")</f>
        <v/>
      </c>
      <c r="CQ134" s="22" t="str">
        <f t="shared" ref="CQ134:CQ197" si="15">IF(AND($CA134&lt;2000,$CC134&gt;2000),"x","")</f>
        <v/>
      </c>
      <c r="CR134" s="22" t="str">
        <f t="shared" ref="CR134:CR197" si="16">IF(AND($CA134&lt;2500,$CC134&gt;2500),"x","")</f>
        <v/>
      </c>
      <c r="CS134" s="22" t="str">
        <f t="shared" ref="CS134:CS197" si="17">IF(AND($CA134&lt;3000,$CC134&gt;3000),"x","")</f>
        <v/>
      </c>
    </row>
    <row r="135" spans="1:97" x14ac:dyDescent="0.3">
      <c r="A135" s="22" t="s">
        <v>153</v>
      </c>
      <c r="B135" s="22" t="s">
        <v>778</v>
      </c>
      <c r="D135" s="22" t="s">
        <v>137</v>
      </c>
      <c r="E135" t="s">
        <v>296</v>
      </c>
      <c r="F135" s="22">
        <v>120268</v>
      </c>
      <c r="G135" s="25" t="s">
        <v>139</v>
      </c>
      <c r="H135" s="23">
        <f>Tabel2[[#This Row],[pnt t/m 2021/22]]+Tabel2[[#This Row],[pnt 2022/2023]]</f>
        <v>10.158730158730158</v>
      </c>
      <c r="I135">
        <v>2013</v>
      </c>
      <c r="J135">
        <v>2023</v>
      </c>
      <c r="K135" s="24">
        <f>Tabel2[[#This Row],[ijkdatum]]-Tabel2[[#This Row],[Geboren]]</f>
        <v>10</v>
      </c>
      <c r="L135" s="26">
        <f>Tabel2[[#This Row],[TTL 1]]+Tabel2[[#This Row],[TTL 2]]+Tabel2[[#This Row],[TTL 3]]+Tabel2[[#This Row],[TTL 4]]+Tabel2[[#This Row],[TTL 5]]+Tabel2[[#This Row],[TTL 6]]+Tabel2[[#This Row],[TTL 7]]+Tabel2[[#This Row],[TTL 8]]+Tabel2[[#This Row],[TTL 9]]+Tabel2[[#This Row],[TTL 10]]</f>
        <v>0</v>
      </c>
      <c r="M135" s="153">
        <v>10.158730158730158</v>
      </c>
      <c r="O135">
        <v>1</v>
      </c>
      <c r="S135" s="153">
        <f>SUM(Tabel2[[#This Row],[V 1]]*10+Tabel2[[#This Row],[GT 1]])/Tabel2[[#This Row],[AW 1]]*10+Tabel2[[#This Row],[BONUS 1]]</f>
        <v>0</v>
      </c>
      <c r="U135">
        <v>1</v>
      </c>
      <c r="Y135" s="23">
        <f>SUM(Tabel2[[#This Row],[V 2]]*10+Tabel2[[#This Row],[GT 2]])/Tabel2[[#This Row],[AW 2]]*10+Tabel2[[#This Row],[BONUS 2]]</f>
        <v>0</v>
      </c>
      <c r="AA135">
        <v>1</v>
      </c>
      <c r="AE135" s="23">
        <f>SUM(Tabel2[[#This Row],[V 3]]*10+Tabel2[[#This Row],[GT 3]])/Tabel2[[#This Row],[AW 3]]*10+Tabel2[[#This Row],[BONUS 3]]</f>
        <v>0</v>
      </c>
      <c r="AG135">
        <v>1</v>
      </c>
      <c r="AK135" s="23">
        <f>SUM(Tabel2[[#This Row],[V 4]]*10+Tabel2[[#This Row],[GT 4]])/Tabel2[[#This Row],[AW 4]]*10+Tabel2[[#This Row],[BONUS 4]]</f>
        <v>0</v>
      </c>
      <c r="AM135">
        <v>1</v>
      </c>
      <c r="AQ135" s="23">
        <f>SUM(Tabel2[[#This Row],[V 5]]*10+Tabel2[[#This Row],[GT 5]])/Tabel2[[#This Row],[AW 5]]*10+Tabel2[[#This Row],[BONUS 5]]</f>
        <v>0</v>
      </c>
      <c r="AS135">
        <v>1</v>
      </c>
      <c r="AW135" s="23">
        <f>SUM(Tabel2[[#This Row],[V 6]]*10+Tabel2[[#This Row],[GT 6]])/Tabel2[[#This Row],[AW 6]]*10+Tabel2[[#This Row],[BONUS 6]]</f>
        <v>0</v>
      </c>
      <c r="AY135">
        <v>1</v>
      </c>
      <c r="BC135" s="23">
        <f>SUM(Tabel2[[#This Row],[V 7]]*10+Tabel2[[#This Row],[GT 7]])/Tabel2[[#This Row],[AW 7]]*10+Tabel2[[#This Row],[BONUS 7]]</f>
        <v>0</v>
      </c>
      <c r="BE135">
        <v>1</v>
      </c>
      <c r="BI135" s="23">
        <f>SUM(Tabel2[[#This Row],[V 8]]*10+Tabel2[[#This Row],[GT 8]])/Tabel2[[#This Row],[AW 8]]*10+Tabel2[[#This Row],[BONUS 8]]</f>
        <v>0</v>
      </c>
      <c r="BK135">
        <v>1</v>
      </c>
      <c r="BO135" s="2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5" s="22">
        <v>0</v>
      </c>
      <c r="BX135" s="22">
        <f>Tabel2[[#This Row],[Diploma]]-Tabel2[[#This Row],[Uitgeschreven]]</f>
        <v>0</v>
      </c>
      <c r="BY135" s="155" t="str">
        <f>IF(BX135=0,"geen actie",CONCATENATE("diploma uitschrijven: ",BV135," punten"))</f>
        <v>geen actie</v>
      </c>
      <c r="CA135" s="150">
        <f>Tabel2[[#This Row],[pnt t/m 2021/22]]</f>
        <v>10.158730158730158</v>
      </c>
      <c r="CB135" s="150">
        <f>Tabel2[[#This Row],[pnt 2022/2023]]</f>
        <v>0</v>
      </c>
      <c r="CC135" s="150">
        <f t="shared" ref="CC135:CC198" si="18">CA135+CB135</f>
        <v>10.158730158730158</v>
      </c>
      <c r="CD135" s="150">
        <f>IF(Tabel2[[#This Row],[LPR 1]]&gt;0,1,0)</f>
        <v>0</v>
      </c>
      <c r="CE135" s="150">
        <f>IF(Tabel2[[#This Row],[LPR 2]]&gt;0,1,0)</f>
        <v>0</v>
      </c>
      <c r="CF135" s="150">
        <f>IF(Tabel2[[#This Row],[LPR 3]]&gt;0,1,0)</f>
        <v>0</v>
      </c>
      <c r="CG135" s="150">
        <f>IF(Tabel2[[#This Row],[LPR 4]]&gt;0,1,0)</f>
        <v>0</v>
      </c>
      <c r="CH135" s="150">
        <f>IF(Tabel2[[#This Row],[LPR 5]]&gt;0,1,0)</f>
        <v>0</v>
      </c>
      <c r="CI135" s="150">
        <f>IF(Tabel2[[#This Row],[LPR 6]]&gt;0,1,0)</f>
        <v>0</v>
      </c>
      <c r="CJ135" s="150">
        <f>IF(Tabel2[[#This Row],[LPR 7]]&gt;0,1,0)</f>
        <v>0</v>
      </c>
      <c r="CK135" s="150">
        <f>IF(Tabel2[[#This Row],[LPR 8]]&gt;0,1,0)</f>
        <v>0</v>
      </c>
      <c r="CL135" s="150">
        <f>IF(Tabel2[[#This Row],[LPR 9]]&gt;0,1,0)</f>
        <v>0</v>
      </c>
      <c r="CM135" s="150">
        <f>IF(Tabel2[[#This Row],[LPR 10]]&gt;0,1,0)</f>
        <v>0</v>
      </c>
      <c r="CN135" s="150">
        <f>SUM(Tabel7[[#This Row],[sep]:[jun]])</f>
        <v>0</v>
      </c>
      <c r="CO135" s="22" t="str">
        <f t="shared" si="13"/>
        <v/>
      </c>
      <c r="CP135" s="22" t="str">
        <f t="shared" si="14"/>
        <v/>
      </c>
      <c r="CQ135" s="22" t="str">
        <f t="shared" si="15"/>
        <v/>
      </c>
      <c r="CR135" s="22" t="str">
        <f t="shared" si="16"/>
        <v/>
      </c>
      <c r="CS135" s="22" t="str">
        <f t="shared" si="17"/>
        <v/>
      </c>
    </row>
    <row r="136" spans="1:97" x14ac:dyDescent="0.3">
      <c r="A136" s="22" t="s">
        <v>169</v>
      </c>
      <c r="B136" s="22" t="s">
        <v>778</v>
      </c>
      <c r="D136" s="22" t="s">
        <v>137</v>
      </c>
      <c r="E136" t="s">
        <v>297</v>
      </c>
      <c r="F136" s="22">
        <v>120303</v>
      </c>
      <c r="G136" s="25" t="s">
        <v>149</v>
      </c>
      <c r="H136" s="23">
        <f>Tabel2[[#This Row],[pnt t/m 2021/22]]+Tabel2[[#This Row],[pnt 2022/2023]]</f>
        <v>426.13095238095241</v>
      </c>
      <c r="I136">
        <v>2011</v>
      </c>
      <c r="J136">
        <v>2023</v>
      </c>
      <c r="K136" s="24">
        <f>Tabel2[[#This Row],[ijkdatum]]-Tabel2[[#This Row],[Geboren]]</f>
        <v>12</v>
      </c>
      <c r="L136" s="26">
        <f>Tabel2[[#This Row],[TTL 1]]+Tabel2[[#This Row],[TTL 2]]+Tabel2[[#This Row],[TTL 3]]+Tabel2[[#This Row],[TTL 4]]+Tabel2[[#This Row],[TTL 5]]+Tabel2[[#This Row],[TTL 6]]+Tabel2[[#This Row],[TTL 7]]+Tabel2[[#This Row],[TTL 8]]+Tabel2[[#This Row],[TTL 9]]+Tabel2[[#This Row],[TTL 10]]</f>
        <v>0</v>
      </c>
      <c r="M136" s="153">
        <v>426.13095238095241</v>
      </c>
      <c r="O136">
        <v>1</v>
      </c>
      <c r="S136" s="153">
        <f>SUM(Tabel2[[#This Row],[V 1]]*10+Tabel2[[#This Row],[GT 1]])/Tabel2[[#This Row],[AW 1]]*10+Tabel2[[#This Row],[BONUS 1]]</f>
        <v>0</v>
      </c>
      <c r="U136">
        <v>1</v>
      </c>
      <c r="Y136" s="23">
        <f>SUM(Tabel2[[#This Row],[V 2]]*10+Tabel2[[#This Row],[GT 2]])/Tabel2[[#This Row],[AW 2]]*10+Tabel2[[#This Row],[BONUS 2]]</f>
        <v>0</v>
      </c>
      <c r="AA136">
        <v>1</v>
      </c>
      <c r="AE136" s="23">
        <f>SUM(Tabel2[[#This Row],[V 3]]*10+Tabel2[[#This Row],[GT 3]])/Tabel2[[#This Row],[AW 3]]*10+Tabel2[[#This Row],[BONUS 3]]</f>
        <v>0</v>
      </c>
      <c r="AG136">
        <v>1</v>
      </c>
      <c r="AK136" s="23">
        <f>SUM(Tabel2[[#This Row],[V 4]]*10+Tabel2[[#This Row],[GT 4]])/Tabel2[[#This Row],[AW 4]]*10+Tabel2[[#This Row],[BONUS 4]]</f>
        <v>0</v>
      </c>
      <c r="AM136">
        <v>1</v>
      </c>
      <c r="AQ136" s="23">
        <f>SUM(Tabel2[[#This Row],[V 5]]*10+Tabel2[[#This Row],[GT 5]])/Tabel2[[#This Row],[AW 5]]*10+Tabel2[[#This Row],[BONUS 5]]</f>
        <v>0</v>
      </c>
      <c r="AS136">
        <v>1</v>
      </c>
      <c r="AW136" s="23">
        <f>SUM(Tabel2[[#This Row],[V 6]]*10+Tabel2[[#This Row],[GT 6]])/Tabel2[[#This Row],[AW 6]]*10+Tabel2[[#This Row],[BONUS 6]]</f>
        <v>0</v>
      </c>
      <c r="AY136">
        <v>1</v>
      </c>
      <c r="BC136" s="23">
        <f>SUM(Tabel2[[#This Row],[V 7]]*10+Tabel2[[#This Row],[GT 7]])/Tabel2[[#This Row],[AW 7]]*10+Tabel2[[#This Row],[BONUS 7]]</f>
        <v>0</v>
      </c>
      <c r="BE136">
        <v>1</v>
      </c>
      <c r="BI136" s="23">
        <f>SUM(Tabel2[[#This Row],[V 8]]*10+Tabel2[[#This Row],[GT 8]])/Tabel2[[#This Row],[AW 8]]*10+Tabel2[[#This Row],[BONUS 8]]</f>
        <v>0</v>
      </c>
      <c r="BK136">
        <v>1</v>
      </c>
      <c r="BO136" s="23">
        <f>SUM(Tabel2[[#This Row],[V 9]]*10+Tabel2[[#This Row],[GT 9]])/Tabel2[[#This Row],[AW 9]]*10+Tabel2[[#This Row],[BONUS 9]]</f>
        <v>0</v>
      </c>
      <c r="BQ136">
        <v>1</v>
      </c>
      <c r="BU136" s="23">
        <f>SUM(Tabel2[[#This Row],[V 10]]*10+(Tabel2[[#This Row],[GT 10]])/2)/Tabel2[[#This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6" s="22">
        <v>250</v>
      </c>
      <c r="BX136" s="22">
        <f>Tabel2[[#This Row],[Diploma]]-Tabel2[[#This Row],[Uitgeschreven]]</f>
        <v>0</v>
      </c>
      <c r="BY136" s="155" t="str">
        <f>IF(BX136=0,"geen actie",CONCATENATE("diploma uitschrijven: ",BV136," punten"))</f>
        <v>geen actie</v>
      </c>
      <c r="CA136" s="150">
        <f>Tabel2[[#This Row],[pnt t/m 2021/22]]</f>
        <v>426.13095238095241</v>
      </c>
      <c r="CB136" s="150">
        <f>Tabel2[[#This Row],[pnt 2022/2023]]</f>
        <v>0</v>
      </c>
      <c r="CC136" s="150">
        <f t="shared" si="18"/>
        <v>426.13095238095241</v>
      </c>
      <c r="CD136" s="150">
        <f>IF(Tabel2[[#This Row],[LPR 1]]&gt;0,1,0)</f>
        <v>0</v>
      </c>
      <c r="CE136" s="150">
        <f>IF(Tabel2[[#This Row],[LPR 2]]&gt;0,1,0)</f>
        <v>0</v>
      </c>
      <c r="CF136" s="150">
        <f>IF(Tabel2[[#This Row],[LPR 3]]&gt;0,1,0)</f>
        <v>0</v>
      </c>
      <c r="CG136" s="150">
        <f>IF(Tabel2[[#This Row],[LPR 4]]&gt;0,1,0)</f>
        <v>0</v>
      </c>
      <c r="CH136" s="150">
        <f>IF(Tabel2[[#This Row],[LPR 5]]&gt;0,1,0)</f>
        <v>0</v>
      </c>
      <c r="CI136" s="150">
        <f>IF(Tabel2[[#This Row],[LPR 6]]&gt;0,1,0)</f>
        <v>0</v>
      </c>
      <c r="CJ136" s="150">
        <f>IF(Tabel2[[#This Row],[LPR 7]]&gt;0,1,0)</f>
        <v>0</v>
      </c>
      <c r="CK136" s="150">
        <f>IF(Tabel2[[#This Row],[LPR 8]]&gt;0,1,0)</f>
        <v>0</v>
      </c>
      <c r="CL136" s="150">
        <f>IF(Tabel2[[#This Row],[LPR 9]]&gt;0,1,0)</f>
        <v>0</v>
      </c>
      <c r="CM136" s="150">
        <f>IF(Tabel2[[#This Row],[LPR 10]]&gt;0,1,0)</f>
        <v>0</v>
      </c>
      <c r="CN136" s="150">
        <f>SUM(Tabel7[[#This Row],[sep]:[jun]])</f>
        <v>0</v>
      </c>
      <c r="CO136" s="22" t="str">
        <f t="shared" si="13"/>
        <v/>
      </c>
      <c r="CP136" s="22" t="str">
        <f t="shared" si="14"/>
        <v/>
      </c>
      <c r="CQ136" s="22" t="str">
        <f t="shared" si="15"/>
        <v/>
      </c>
      <c r="CR136" s="22" t="str">
        <f t="shared" si="16"/>
        <v/>
      </c>
      <c r="CS136" s="22" t="str">
        <f t="shared" si="17"/>
        <v/>
      </c>
    </row>
    <row r="137" spans="1:97" x14ac:dyDescent="0.3">
      <c r="A137" s="22" t="s">
        <v>140</v>
      </c>
      <c r="B137" s="22" t="s">
        <v>779</v>
      </c>
      <c r="D137" s="22" t="s">
        <v>137</v>
      </c>
      <c r="E137" t="s">
        <v>290</v>
      </c>
      <c r="F137" s="22">
        <v>120282</v>
      </c>
      <c r="G137" s="25" t="s">
        <v>151</v>
      </c>
      <c r="H137" s="142">
        <f>Tabel2[[#This Row],[pnt t/m 2021/22]]+Tabel2[[#This Row],[pnt 2022/2023]]</f>
        <v>285.45329670329664</v>
      </c>
      <c r="I137">
        <v>2015</v>
      </c>
      <c r="J137">
        <v>2023</v>
      </c>
      <c r="K137" s="24">
        <f>Tabel2[[#This Row],[ijkdatum]]-Tabel2[[#This Row],[Geboren]]</f>
        <v>8</v>
      </c>
      <c r="L137" s="26">
        <f>Tabel2[[#This Row],[TTL 1]]+Tabel2[[#This Row],[TTL 2]]+Tabel2[[#This Row],[TTL 3]]+Tabel2[[#This Row],[TTL 4]]+Tabel2[[#This Row],[TTL 5]]+Tabel2[[#This Row],[TTL 6]]+Tabel2[[#This Row],[TTL 7]]+Tabel2[[#This Row],[TTL 8]]+Tabel2[[#This Row],[TTL 9]]+Tabel2[[#This Row],[TTL 10]]</f>
        <v>62.857142857142854</v>
      </c>
      <c r="M137" s="141">
        <v>222.59615384615381</v>
      </c>
      <c r="N137" s="237"/>
      <c r="O137">
        <v>1</v>
      </c>
      <c r="S137" s="23">
        <f>SUM(Tabel2[[#This Row],[V 1]]*10+Tabel2[[#This Row],[GT 1]])/Tabel2[[#This Row],[AW 1]]*10+Tabel2[[#This Row],[BONUS 1]]</f>
        <v>0</v>
      </c>
      <c r="T137">
        <v>7</v>
      </c>
      <c r="U137">
        <v>7</v>
      </c>
      <c r="V137">
        <v>2</v>
      </c>
      <c r="W137">
        <v>24</v>
      </c>
      <c r="Y137" s="23">
        <f>SUM(Tabel2[[#This Row],[V 2]]*10+Tabel2[[#This Row],[GT 2]])/Tabel2[[#This Row],[AW 2]]*10+Tabel2[[#This Row],[BONUS 2]]</f>
        <v>62.857142857142854</v>
      </c>
      <c r="AA137">
        <v>1</v>
      </c>
      <c r="AE137" s="23">
        <f>SUM(Tabel2[[#This Row],[V 3]]*10+Tabel2[[#This Row],[GT 3]])/Tabel2[[#This Row],[AW 3]]*10+Tabel2[[#This Row],[BONUS 3]]</f>
        <v>0</v>
      </c>
      <c r="AG137">
        <v>1</v>
      </c>
      <c r="AK137" s="23">
        <f>SUM(Tabel2[[#This Row],[V 4]]*10+Tabel2[[#This Row],[GT 4]])/Tabel2[[#This Row],[AW 4]]*10+Tabel2[[#This Row],[BONUS 4]]</f>
        <v>0</v>
      </c>
      <c r="AM137">
        <v>1</v>
      </c>
      <c r="AQ137" s="23">
        <f>SUM(Tabel2[[#This Row],[V 5]]*10+Tabel2[[#This Row],[GT 5]])/Tabel2[[#This Row],[AW 5]]*10+Tabel2[[#This Row],[BONUS 5]]</f>
        <v>0</v>
      </c>
      <c r="AS137">
        <v>1</v>
      </c>
      <c r="AW137" s="23">
        <f>SUM(Tabel2[[#This Row],[V 6]]*10+Tabel2[[#This Row],[GT 6]])/Tabel2[[#This Row],[AW 6]]*10+Tabel2[[#This Row],[BONUS 6]]</f>
        <v>0</v>
      </c>
      <c r="AY137">
        <v>1</v>
      </c>
      <c r="BC137" s="23">
        <f>SUM(Tabel2[[#This Row],[V 7]]*10+Tabel2[[#This Row],[GT 7]])/Tabel2[[#This Row],[AW 7]]*10+Tabel2[[#This Row],[BONUS 7]]</f>
        <v>0</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7" s="22">
        <v>0</v>
      </c>
      <c r="BX137" s="30">
        <f>Tabel2[[#This Row],[Diploma]]-Tabel2[[#This Row],[Uitgeschreven]]</f>
        <v>250</v>
      </c>
      <c r="BY137" s="2" t="str">
        <f>IF(BX137=0,"geen actie",CONCATENATE("diploma uitschrijven: ",BV137," punten"))</f>
        <v>diploma uitschrijven: 250 punten</v>
      </c>
      <c r="CA137" s="150">
        <f>Tabel2[[#This Row],[pnt t/m 2021/22]]</f>
        <v>222.59615384615381</v>
      </c>
      <c r="CB137" s="150">
        <f>Tabel2[[#This Row],[pnt 2022/2023]]</f>
        <v>62.857142857142854</v>
      </c>
      <c r="CC137" s="150">
        <f t="shared" si="18"/>
        <v>285.45329670329664</v>
      </c>
      <c r="CD137" s="150">
        <f>IF(Tabel2[[#This Row],[LPR 1]]&gt;0,1,0)</f>
        <v>0</v>
      </c>
      <c r="CE137" s="150">
        <f>IF(Tabel2[[#This Row],[LPR 2]]&gt;0,1,0)</f>
        <v>1</v>
      </c>
      <c r="CF137" s="150">
        <f>IF(Tabel2[[#This Row],[LPR 3]]&gt;0,1,0)</f>
        <v>0</v>
      </c>
      <c r="CG137" s="150">
        <f>IF(Tabel2[[#This Row],[LPR 4]]&gt;0,1,0)</f>
        <v>0</v>
      </c>
      <c r="CH137" s="150">
        <f>IF(Tabel2[[#This Row],[LPR 5]]&gt;0,1,0)</f>
        <v>0</v>
      </c>
      <c r="CI137" s="150">
        <f>IF(Tabel2[[#This Row],[LPR 6]]&gt;0,1,0)</f>
        <v>0</v>
      </c>
      <c r="CJ137" s="150">
        <f>IF(Tabel2[[#This Row],[LPR 7]]&gt;0,1,0)</f>
        <v>0</v>
      </c>
      <c r="CK137" s="150">
        <f>IF(Tabel2[[#This Row],[LPR 8]]&gt;0,1,0)</f>
        <v>0</v>
      </c>
      <c r="CL137" s="150">
        <f>IF(Tabel2[[#This Row],[LPR 9]]&gt;0,1,0)</f>
        <v>0</v>
      </c>
      <c r="CM137" s="150">
        <f>IF(Tabel2[[#This Row],[LPR 10]]&gt;0,1,0)</f>
        <v>0</v>
      </c>
      <c r="CN137" s="150">
        <f>SUM(Tabel7[[#This Row],[sep]:[jun]])</f>
        <v>1</v>
      </c>
      <c r="CO137" s="22" t="str">
        <f t="shared" si="13"/>
        <v/>
      </c>
      <c r="CP137" s="22" t="str">
        <f t="shared" si="14"/>
        <v/>
      </c>
      <c r="CQ137" s="22" t="str">
        <f t="shared" si="15"/>
        <v/>
      </c>
      <c r="CR137" s="22" t="str">
        <f t="shared" si="16"/>
        <v/>
      </c>
      <c r="CS137" s="22" t="str">
        <f t="shared" si="17"/>
        <v/>
      </c>
    </row>
    <row r="138" spans="1:97" x14ac:dyDescent="0.3">
      <c r="A138" s="22" t="s">
        <v>143</v>
      </c>
      <c r="B138" s="22" t="s">
        <v>779</v>
      </c>
      <c r="D138" s="22" t="s">
        <v>137</v>
      </c>
      <c r="E138" t="s">
        <v>299</v>
      </c>
      <c r="F138" s="22">
        <v>120017</v>
      </c>
      <c r="G138" s="25" t="s">
        <v>185</v>
      </c>
      <c r="H138" s="23">
        <f>Tabel2[[#This Row],[pnt t/m 2021/22]]+Tabel2[[#This Row],[pnt 2022/2023]]</f>
        <v>165.53571428571428</v>
      </c>
      <c r="I138">
        <v>2009</v>
      </c>
      <c r="J138">
        <v>2023</v>
      </c>
      <c r="K138" s="24">
        <f>Tabel2[[#This Row],[ijkdatum]]-Tabel2[[#This Row],[Geboren]]</f>
        <v>14</v>
      </c>
      <c r="L138" s="26">
        <f>Tabel2[[#This Row],[TTL 1]]+Tabel2[[#This Row],[TTL 2]]+Tabel2[[#This Row],[TTL 3]]+Tabel2[[#This Row],[TTL 4]]+Tabel2[[#This Row],[TTL 5]]+Tabel2[[#This Row],[TTL 6]]+Tabel2[[#This Row],[TTL 7]]+Tabel2[[#This Row],[TTL 8]]+Tabel2[[#This Row],[TTL 9]]+Tabel2[[#This Row],[TTL 10]]</f>
        <v>0</v>
      </c>
      <c r="M138" s="153">
        <v>165.53571428571428</v>
      </c>
      <c r="O138">
        <v>1</v>
      </c>
      <c r="S138" s="153">
        <f>SUM(Tabel2[[#This Row],[V 1]]*10+Tabel2[[#This Row],[GT 1]])/Tabel2[[#This Row],[AW 1]]*10+Tabel2[[#This Row],[BONUS 1]]</f>
        <v>0</v>
      </c>
      <c r="U138">
        <v>1</v>
      </c>
      <c r="Y138" s="153">
        <f>SUM(Tabel2[[#This Row],[V 2]]*10+Tabel2[[#This Row],[GT 2]])/Tabel2[[#This Row],[AW 2]]*10+Tabel2[[#This Row],[BONUS 2]]</f>
        <v>0</v>
      </c>
      <c r="AA138">
        <v>1</v>
      </c>
      <c r="AE138" s="153">
        <f>SUM(Tabel2[[#This Row],[V 3]]*10+Tabel2[[#This Row],[GT 3]])/Tabel2[[#This Row],[AW 3]]*10+Tabel2[[#This Row],[BONUS 3]]</f>
        <v>0</v>
      </c>
      <c r="AG138">
        <v>1</v>
      </c>
      <c r="AK138" s="153">
        <f>SUM(Tabel2[[#This Row],[V 4]]*10+Tabel2[[#This Row],[GT 4]])/Tabel2[[#This Row],[AW 4]]*10+Tabel2[[#This Row],[BONUS 4]]</f>
        <v>0</v>
      </c>
      <c r="AM138">
        <v>1</v>
      </c>
      <c r="AQ138" s="153">
        <f>SUM(Tabel2[[#This Row],[V 5]]*10+Tabel2[[#This Row],[GT 5]])/Tabel2[[#This Row],[AW 5]]*10+Tabel2[[#This Row],[BONUS 5]]</f>
        <v>0</v>
      </c>
      <c r="AS138">
        <v>1</v>
      </c>
      <c r="AW138" s="153">
        <f>SUM(Tabel2[[#This Row],[V 6]]*10+Tabel2[[#This Row],[GT 6]])/Tabel2[[#This Row],[AW 6]]*10+Tabel2[[#This Row],[BONUS 6]]</f>
        <v>0</v>
      </c>
      <c r="AY138">
        <v>1</v>
      </c>
      <c r="BC138" s="153">
        <f>SUM(Tabel2[[#This Row],[V 7]]*10+Tabel2[[#This Row],[GT 7]])/Tabel2[[#This Row],[AW 7]]*10+Tabel2[[#This Row],[BONUS 7]]</f>
        <v>0</v>
      </c>
      <c r="BE138">
        <v>1</v>
      </c>
      <c r="BI138" s="153">
        <f>SUM(Tabel2[[#This Row],[V 8]]*10+Tabel2[[#This Row],[GT 8]])/Tabel2[[#This Row],[AW 8]]*10+Tabel2[[#This Row],[BONUS 8]]</f>
        <v>0</v>
      </c>
      <c r="BK138">
        <v>1</v>
      </c>
      <c r="BO138" s="15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8" s="22">
        <v>0</v>
      </c>
      <c r="BX138" s="22">
        <f>Tabel2[[#This Row],[Diploma]]-Tabel2[[#This Row],[Uitgeschreven]]</f>
        <v>0</v>
      </c>
      <c r="BY138" s="155" t="str">
        <f>IF(BX138=0,"geen actie",CONCATENATE("diploma uitschrijven: ",BV138," punten"))</f>
        <v>geen actie</v>
      </c>
      <c r="CA138" s="150">
        <f>Tabel2[[#This Row],[pnt t/m 2021/22]]</f>
        <v>165.53571428571428</v>
      </c>
      <c r="CB138" s="150">
        <f>Tabel2[[#This Row],[pnt 2022/2023]]</f>
        <v>0</v>
      </c>
      <c r="CC138" s="150">
        <f t="shared" si="18"/>
        <v>165.53571428571428</v>
      </c>
      <c r="CD138" s="150">
        <f>IF(Tabel2[[#This Row],[LPR 1]]&gt;0,1,0)</f>
        <v>0</v>
      </c>
      <c r="CE138" s="150">
        <f>IF(Tabel2[[#This Row],[LPR 2]]&gt;0,1,0)</f>
        <v>0</v>
      </c>
      <c r="CF138" s="150">
        <f>IF(Tabel2[[#This Row],[LPR 3]]&gt;0,1,0)</f>
        <v>0</v>
      </c>
      <c r="CG138" s="150">
        <f>IF(Tabel2[[#This Row],[LPR 4]]&gt;0,1,0)</f>
        <v>0</v>
      </c>
      <c r="CH138" s="150">
        <f>IF(Tabel2[[#This Row],[LPR 5]]&gt;0,1,0)</f>
        <v>0</v>
      </c>
      <c r="CI138" s="150">
        <f>IF(Tabel2[[#This Row],[LPR 6]]&gt;0,1,0)</f>
        <v>0</v>
      </c>
      <c r="CJ138" s="150">
        <f>IF(Tabel2[[#This Row],[LPR 7]]&gt;0,1,0)</f>
        <v>0</v>
      </c>
      <c r="CK138" s="150">
        <f>IF(Tabel2[[#This Row],[LPR 8]]&gt;0,1,0)</f>
        <v>0</v>
      </c>
      <c r="CL138" s="150">
        <f>IF(Tabel2[[#This Row],[LPR 9]]&gt;0,1,0)</f>
        <v>0</v>
      </c>
      <c r="CM138" s="150">
        <f>IF(Tabel2[[#This Row],[LPR 10]]&gt;0,1,0)</f>
        <v>0</v>
      </c>
      <c r="CN138" s="150">
        <f>SUM(Tabel7[[#This Row],[sep]:[jun]])</f>
        <v>0</v>
      </c>
      <c r="CO138" s="22" t="str">
        <f t="shared" si="13"/>
        <v/>
      </c>
      <c r="CP138" s="22" t="str">
        <f t="shared" si="14"/>
        <v/>
      </c>
      <c r="CQ138" s="22" t="str">
        <f t="shared" si="15"/>
        <v/>
      </c>
      <c r="CR138" s="22" t="str">
        <f t="shared" si="16"/>
        <v/>
      </c>
      <c r="CS138" s="22" t="str">
        <f t="shared" si="17"/>
        <v/>
      </c>
    </row>
    <row r="139" spans="1:97" x14ac:dyDescent="0.3">
      <c r="A139" s="22" t="s">
        <v>135</v>
      </c>
      <c r="B139" s="22" t="s">
        <v>778</v>
      </c>
      <c r="D139" s="22" t="s">
        <v>784</v>
      </c>
      <c r="E139" t="s">
        <v>298</v>
      </c>
      <c r="F139" s="22">
        <v>117063</v>
      </c>
      <c r="G139" s="25" t="s">
        <v>180</v>
      </c>
      <c r="H139" s="142">
        <f>Tabel2[[#This Row],[pnt t/m 2021/22]]+Tabel2[[#This Row],[pnt 2022/2023]]</f>
        <v>3003.0485625485626</v>
      </c>
      <c r="I139">
        <v>2007</v>
      </c>
      <c r="J139">
        <v>2023</v>
      </c>
      <c r="K139" s="24">
        <f>Tabel2[[#This Row],[ijkdatum]]-Tabel2[[#This Row],[Geboren]]</f>
        <v>16</v>
      </c>
      <c r="L139" s="26">
        <f>Tabel2[[#This Row],[TTL 1]]+Tabel2[[#This Row],[TTL 2]]+Tabel2[[#This Row],[TTL 3]]+Tabel2[[#This Row],[TTL 4]]+Tabel2[[#This Row],[TTL 5]]+Tabel2[[#This Row],[TTL 6]]+Tabel2[[#This Row],[TTL 7]]+Tabel2[[#This Row],[TTL 8]]+Tabel2[[#This Row],[TTL 9]]+Tabel2[[#This Row],[TTL 10]]</f>
        <v>114</v>
      </c>
      <c r="M139" s="141">
        <v>2889.0485625485626</v>
      </c>
      <c r="N139">
        <v>1</v>
      </c>
      <c r="O139">
        <v>10</v>
      </c>
      <c r="P139">
        <v>7</v>
      </c>
      <c r="Q139">
        <v>44</v>
      </c>
      <c r="S139" s="23">
        <f>SUM(Tabel2[[#This Row],[V 1]]*10+Tabel2[[#This Row],[GT 1]])/Tabel2[[#This Row],[AW 1]]*10+Tabel2[[#This Row],[BONUS 1]]</f>
        <v>114</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M139">
        <v>1</v>
      </c>
      <c r="AQ139" s="23">
        <f>SUM(Tabel2[[#This Row],[V 5]]*10+Tabel2[[#This Row],[GT 5]])/Tabel2[[#This Row],[AW 5]]*10+Tabel2[[#This Row],[BONUS 5]]</f>
        <v>0</v>
      </c>
      <c r="AS139">
        <v>1</v>
      </c>
      <c r="AW139" s="23">
        <f>SUM(Tabel2[[#This Row],[V 6]]*10+Tabel2[[#This Row],[GT 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9" s="22">
        <v>3000</v>
      </c>
      <c r="BX139" s="30">
        <f>Tabel2[[#This Row],[Diploma]]-Tabel2[[#This Row],[Uitgeschreven]]</f>
        <v>0</v>
      </c>
      <c r="BY139" s="2" t="str">
        <f>IF(BX139=0,"geen actie",CONCATENATE("diploma uitschrijven: ",BV139," punten"))</f>
        <v>geen actie</v>
      </c>
      <c r="CA139" s="150">
        <f>Tabel2[[#This Row],[pnt t/m 2021/22]]</f>
        <v>2889.0485625485626</v>
      </c>
      <c r="CB139" s="150">
        <f>Tabel2[[#This Row],[pnt 2022/2023]]</f>
        <v>114</v>
      </c>
      <c r="CC139" s="150">
        <f t="shared" si="18"/>
        <v>3003.0485625485626</v>
      </c>
      <c r="CD139" s="150">
        <f>IF(Tabel2[[#This Row],[LPR 1]]&gt;0,1,0)</f>
        <v>1</v>
      </c>
      <c r="CE139" s="150">
        <f>IF(Tabel2[[#This Row],[LPR 2]]&gt;0,1,0)</f>
        <v>0</v>
      </c>
      <c r="CF139" s="150">
        <f>IF(Tabel2[[#This Row],[LPR 3]]&gt;0,1,0)</f>
        <v>0</v>
      </c>
      <c r="CG139" s="150">
        <f>IF(Tabel2[[#This Row],[LPR 4]]&gt;0,1,0)</f>
        <v>0</v>
      </c>
      <c r="CH139" s="150">
        <f>IF(Tabel2[[#This Row],[LPR 5]]&gt;0,1,0)</f>
        <v>0</v>
      </c>
      <c r="CI139" s="150">
        <f>IF(Tabel2[[#This Row],[LPR 6]]&gt;0,1,0)</f>
        <v>0</v>
      </c>
      <c r="CJ139" s="150">
        <f>IF(Tabel2[[#This Row],[LPR 7]]&gt;0,1,0)</f>
        <v>0</v>
      </c>
      <c r="CK139" s="150">
        <f>IF(Tabel2[[#This Row],[LPR 8]]&gt;0,1,0)</f>
        <v>0</v>
      </c>
      <c r="CL139" s="150">
        <f>IF(Tabel2[[#This Row],[LPR 9]]&gt;0,1,0)</f>
        <v>0</v>
      </c>
      <c r="CM139" s="150">
        <f>IF(Tabel2[[#This Row],[LPR 10]]&gt;0,1,0)</f>
        <v>0</v>
      </c>
      <c r="CN139" s="150">
        <f>SUM(Tabel7[[#This Row],[sep]:[jun]])</f>
        <v>1</v>
      </c>
      <c r="CO139" s="22" t="str">
        <f t="shared" si="13"/>
        <v/>
      </c>
      <c r="CP139" s="22" t="str">
        <f t="shared" si="14"/>
        <v/>
      </c>
      <c r="CQ139" s="22" t="str">
        <f t="shared" si="15"/>
        <v/>
      </c>
      <c r="CR139" s="22" t="str">
        <f t="shared" si="16"/>
        <v/>
      </c>
      <c r="CS139" s="22" t="str">
        <f t="shared" si="17"/>
        <v>x</v>
      </c>
    </row>
    <row r="140" spans="1:97" x14ac:dyDescent="0.3">
      <c r="A140" s="22" t="s">
        <v>143</v>
      </c>
      <c r="B140" s="22" t="s">
        <v>778</v>
      </c>
      <c r="D140" s="22" t="s">
        <v>783</v>
      </c>
      <c r="E140" t="s">
        <v>301</v>
      </c>
      <c r="F140" s="22">
        <v>118759</v>
      </c>
      <c r="G140" s="25" t="s">
        <v>147</v>
      </c>
      <c r="H140" s="142">
        <f>Tabel2[[#This Row],[pnt t/m 2021/22]]+Tabel2[[#This Row],[pnt 2022/2023]]</f>
        <v>1189.3373015873017</v>
      </c>
      <c r="I140">
        <v>2008</v>
      </c>
      <c r="J140">
        <v>2023</v>
      </c>
      <c r="K140" s="24">
        <f>Tabel2[[#This Row],[ijkdatum]]-Tabel2[[#This Row],[Geboren]]</f>
        <v>15</v>
      </c>
      <c r="L140" s="26">
        <f>Tabel2[[#This Row],[TTL 1]]+Tabel2[[#This Row],[TTL 2]]+Tabel2[[#This Row],[TTL 3]]+Tabel2[[#This Row],[TTL 4]]+Tabel2[[#This Row],[TTL 5]]+Tabel2[[#This Row],[TTL 6]]+Tabel2[[#This Row],[TTL 7]]+Tabel2[[#This Row],[TTL 8]]+Tabel2[[#This Row],[TTL 9]]+Tabel2[[#This Row],[TTL 10]]</f>
        <v>73.75</v>
      </c>
      <c r="M140" s="141">
        <v>1115.5873015873017</v>
      </c>
      <c r="N140">
        <v>5</v>
      </c>
      <c r="O140">
        <v>8</v>
      </c>
      <c r="P140">
        <v>3</v>
      </c>
      <c r="Q140">
        <v>29</v>
      </c>
      <c r="S140" s="23">
        <f>SUM(Tabel2[[#This Row],[V 1]]*10+Tabel2[[#This Row],[GT 1]])/Tabel2[[#This Row],[AW 1]]*10+Tabel2[[#This Row],[BONUS 1]]</f>
        <v>73.75</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 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0" s="22">
        <v>1000</v>
      </c>
      <c r="BX140" s="30">
        <f>Tabel2[[#This Row],[Diploma]]-Tabel2[[#This Row],[Uitgeschreven]]</f>
        <v>0</v>
      </c>
      <c r="BY140" s="2" t="str">
        <f>IF(BX140=0,"geen actie",CONCATENATE("diploma uitschrijven: ",BV140," punten"))</f>
        <v>geen actie</v>
      </c>
      <c r="CA140" s="150">
        <f>Tabel2[[#This Row],[pnt t/m 2021/22]]</f>
        <v>1115.5873015873017</v>
      </c>
      <c r="CB140" s="150">
        <f>Tabel2[[#This Row],[pnt 2022/2023]]</f>
        <v>73.75</v>
      </c>
      <c r="CC140" s="150">
        <f t="shared" si="18"/>
        <v>1189.3373015873017</v>
      </c>
      <c r="CD140" s="150">
        <f>IF(Tabel2[[#This Row],[LPR 1]]&gt;0,1,0)</f>
        <v>1</v>
      </c>
      <c r="CE140" s="150">
        <f>IF(Tabel2[[#This Row],[LPR 2]]&gt;0,1,0)</f>
        <v>0</v>
      </c>
      <c r="CF140" s="150">
        <f>IF(Tabel2[[#This Row],[LPR 3]]&gt;0,1,0)</f>
        <v>0</v>
      </c>
      <c r="CG140" s="150">
        <f>IF(Tabel2[[#This Row],[LPR 4]]&gt;0,1,0)</f>
        <v>0</v>
      </c>
      <c r="CH140" s="150">
        <f>IF(Tabel2[[#This Row],[LPR 5]]&gt;0,1,0)</f>
        <v>0</v>
      </c>
      <c r="CI140" s="150">
        <f>IF(Tabel2[[#This Row],[LPR 6]]&gt;0,1,0)</f>
        <v>0</v>
      </c>
      <c r="CJ140" s="150">
        <f>IF(Tabel2[[#This Row],[LPR 7]]&gt;0,1,0)</f>
        <v>0</v>
      </c>
      <c r="CK140" s="150">
        <f>IF(Tabel2[[#This Row],[LPR 8]]&gt;0,1,0)</f>
        <v>0</v>
      </c>
      <c r="CL140" s="150">
        <f>IF(Tabel2[[#This Row],[LPR 9]]&gt;0,1,0)</f>
        <v>0</v>
      </c>
      <c r="CM140" s="150">
        <f>IF(Tabel2[[#This Row],[LPR 10]]&gt;0,1,0)</f>
        <v>0</v>
      </c>
      <c r="CN140" s="150">
        <f>SUM(Tabel7[[#This Row],[sep]:[jun]])</f>
        <v>1</v>
      </c>
      <c r="CO140" s="22" t="str">
        <f t="shared" si="13"/>
        <v/>
      </c>
      <c r="CP140" s="22" t="str">
        <f t="shared" si="14"/>
        <v/>
      </c>
      <c r="CQ140" s="22" t="str">
        <f t="shared" si="15"/>
        <v/>
      </c>
      <c r="CR140" s="22" t="str">
        <f t="shared" si="16"/>
        <v/>
      </c>
      <c r="CS140" s="22" t="str">
        <f t="shared" si="17"/>
        <v/>
      </c>
    </row>
    <row r="141" spans="1:97" x14ac:dyDescent="0.3">
      <c r="A141" s="22" t="s">
        <v>145</v>
      </c>
      <c r="B141" s="22" t="s">
        <v>778</v>
      </c>
      <c r="D141" s="22" t="s">
        <v>137</v>
      </c>
      <c r="E141" t="s">
        <v>302</v>
      </c>
      <c r="F141" s="22">
        <v>118413</v>
      </c>
      <c r="G141" s="25" t="s">
        <v>149</v>
      </c>
      <c r="H141" s="23">
        <f>Tabel2[[#This Row],[pnt t/m 2021/22]]+Tabel2[[#This Row],[pnt 2022/2023]]</f>
        <v>908.63095238095241</v>
      </c>
      <c r="I141">
        <v>2008</v>
      </c>
      <c r="J141">
        <v>2023</v>
      </c>
      <c r="K141" s="24">
        <f>Tabel2[[#This Row],[ijkdatum]]-Tabel2[[#This Row],[Geboren]]</f>
        <v>15</v>
      </c>
      <c r="L141" s="26">
        <f>Tabel2[[#This Row],[TTL 1]]+Tabel2[[#This Row],[TTL 2]]+Tabel2[[#This Row],[TTL 3]]+Tabel2[[#This Row],[TTL 4]]+Tabel2[[#This Row],[TTL 5]]+Tabel2[[#This Row],[TTL 6]]+Tabel2[[#This Row],[TTL 7]]+Tabel2[[#This Row],[TTL 8]]+Tabel2[[#This Row],[TTL 9]]+Tabel2[[#This Row],[TTL 10]]</f>
        <v>0</v>
      </c>
      <c r="M141" s="153">
        <v>908.63095238095241</v>
      </c>
      <c r="O141">
        <v>1</v>
      </c>
      <c r="S141" s="153">
        <f>SUM(Tabel2[[#This Row],[V 1]]*10+Tabel2[[#This Row],[GT 1]])/Tabel2[[#This Row],[AW 1]]*10+Tabel2[[#This Row],[BONUS 1]]</f>
        <v>0</v>
      </c>
      <c r="U141">
        <v>1</v>
      </c>
      <c r="Y141" s="153">
        <f>SUM(Tabel2[[#This Row],[V 2]]*10+Tabel2[[#This Row],[GT 2]])/Tabel2[[#This Row],[AW 2]]*10+Tabel2[[#This Row],[BONUS 2]]</f>
        <v>0</v>
      </c>
      <c r="AA141">
        <v>1</v>
      </c>
      <c r="AE141" s="153">
        <f>SUM(Tabel2[[#This Row],[V 3]]*10+Tabel2[[#This Row],[GT 3]])/Tabel2[[#This Row],[AW 3]]*10+Tabel2[[#This Row],[BONUS 3]]</f>
        <v>0</v>
      </c>
      <c r="AG141">
        <v>1</v>
      </c>
      <c r="AK141" s="153">
        <f>SUM(Tabel2[[#This Row],[V 4]]*10+Tabel2[[#This Row],[GT 4]])/Tabel2[[#This Row],[AW 4]]*10+Tabel2[[#This Row],[BONUS 4]]</f>
        <v>0</v>
      </c>
      <c r="AM141">
        <v>1</v>
      </c>
      <c r="AQ141" s="23">
        <f>SUM(Tabel2[[#This Row],[V 5]]*10+Tabel2[[#This Row],[GT 5]])/Tabel2[[#This Row],[AW 5]]*10+Tabel2[[#This Row],[BONUS 5]]</f>
        <v>0</v>
      </c>
      <c r="AS141">
        <v>1</v>
      </c>
      <c r="AW141" s="153">
        <f>SUM(Tabel2[[#This Row],[V 6]]*10+Tabel2[[#This Row],[GT 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15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41" s="22">
        <v>750</v>
      </c>
      <c r="BX141" s="22">
        <f>Tabel2[[#This Row],[Diploma]]-Tabel2[[#This Row],[Uitgeschreven]]</f>
        <v>0</v>
      </c>
      <c r="BY141" s="155" t="str">
        <f>IF(BX141=0,"geen actie",CONCATENATE("diploma uitschrijven: ",BV141," punten"))</f>
        <v>geen actie</v>
      </c>
      <c r="CA141" s="150">
        <f>Tabel2[[#This Row],[pnt t/m 2021/22]]</f>
        <v>908.63095238095241</v>
      </c>
      <c r="CB141" s="150">
        <f>Tabel2[[#This Row],[pnt 2022/2023]]</f>
        <v>0</v>
      </c>
      <c r="CC141" s="150">
        <f t="shared" si="18"/>
        <v>908.63095238095241</v>
      </c>
      <c r="CD141" s="150">
        <f>IF(Tabel2[[#This Row],[LPR 1]]&gt;0,1,0)</f>
        <v>0</v>
      </c>
      <c r="CE141" s="150">
        <f>IF(Tabel2[[#This Row],[LPR 2]]&gt;0,1,0)</f>
        <v>0</v>
      </c>
      <c r="CF141" s="150">
        <f>IF(Tabel2[[#This Row],[LPR 3]]&gt;0,1,0)</f>
        <v>0</v>
      </c>
      <c r="CG141" s="150">
        <f>IF(Tabel2[[#This Row],[LPR 4]]&gt;0,1,0)</f>
        <v>0</v>
      </c>
      <c r="CH141" s="150">
        <f>IF(Tabel2[[#This Row],[LPR 5]]&gt;0,1,0)</f>
        <v>0</v>
      </c>
      <c r="CI141" s="150">
        <f>IF(Tabel2[[#This Row],[LPR 6]]&gt;0,1,0)</f>
        <v>0</v>
      </c>
      <c r="CJ141" s="150">
        <f>IF(Tabel2[[#This Row],[LPR 7]]&gt;0,1,0)</f>
        <v>0</v>
      </c>
      <c r="CK141" s="150">
        <f>IF(Tabel2[[#This Row],[LPR 8]]&gt;0,1,0)</f>
        <v>0</v>
      </c>
      <c r="CL141" s="150">
        <f>IF(Tabel2[[#This Row],[LPR 9]]&gt;0,1,0)</f>
        <v>0</v>
      </c>
      <c r="CM141" s="150">
        <f>IF(Tabel2[[#This Row],[LPR 10]]&gt;0,1,0)</f>
        <v>0</v>
      </c>
      <c r="CN141" s="150">
        <f>SUM(Tabel7[[#This Row],[sep]:[jun]])</f>
        <v>0</v>
      </c>
      <c r="CO141" s="22" t="str">
        <f t="shared" si="13"/>
        <v/>
      </c>
      <c r="CP141" s="22" t="str">
        <f t="shared" si="14"/>
        <v/>
      </c>
      <c r="CQ141" s="22" t="str">
        <f t="shared" si="15"/>
        <v/>
      </c>
      <c r="CR141" s="22" t="str">
        <f t="shared" si="16"/>
        <v/>
      </c>
      <c r="CS141" s="22" t="str">
        <f t="shared" si="17"/>
        <v/>
      </c>
    </row>
    <row r="142" spans="1:97" x14ac:dyDescent="0.3">
      <c r="A142" s="22" t="s">
        <v>135</v>
      </c>
      <c r="B142" s="22" t="s">
        <v>778</v>
      </c>
      <c r="D142" s="22" t="s">
        <v>137</v>
      </c>
      <c r="E142" t="s">
        <v>303</v>
      </c>
      <c r="F142" s="22">
        <v>119521</v>
      </c>
      <c r="G142" s="25" t="s">
        <v>151</v>
      </c>
      <c r="H142" s="142">
        <f>Tabel2[[#This Row],[pnt t/m 2021/22]]+Tabel2[[#This Row],[pnt 2022/2023]]</f>
        <v>191.54761904761904</v>
      </c>
      <c r="I142">
        <v>2009</v>
      </c>
      <c r="J142">
        <v>2023</v>
      </c>
      <c r="K142" s="24">
        <f>Tabel2[[#This Row],[ijkdatum]]-Tabel2[[#This Row],[Geboren]]</f>
        <v>14</v>
      </c>
      <c r="L142" s="26">
        <f>Tabel2[[#This Row],[TTL 1]]+Tabel2[[#This Row],[TTL 2]]+Tabel2[[#This Row],[TTL 3]]+Tabel2[[#This Row],[TTL 4]]+Tabel2[[#This Row],[TTL 5]]+Tabel2[[#This Row],[TTL 6]]+Tabel2[[#This Row],[TTL 7]]+Tabel2[[#This Row],[TTL 8]]+Tabel2[[#This Row],[TTL 9]]+Tabel2[[#This Row],[TTL 10]]</f>
        <v>0</v>
      </c>
      <c r="M142" s="151">
        <v>191.54761904761904</v>
      </c>
      <c r="O142">
        <v>1</v>
      </c>
      <c r="S142" s="23">
        <f>SUM(Tabel2[[#This Row],[V 1]]*10+Tabel2[[#This Row],[GT 1]])/Tabel2[[#This Row],[AW 1]]*10+Tabel2[[#This Row],[BONUS 1]]</f>
        <v>0</v>
      </c>
      <c r="U142">
        <v>1</v>
      </c>
      <c r="Y142" s="23">
        <f>SUM(Tabel2[[#This Row],[V 2]]*10+Tabel2[[#This Row],[GT 2]])/Tabel2[[#This Row],[AW 2]]*10+Tabel2[[#This Row],[BONUS 2]]</f>
        <v>0</v>
      </c>
      <c r="AA142">
        <v>1</v>
      </c>
      <c r="AE142" s="23">
        <f>SUM(Tabel2[[#This Row],[V 3]]*10+Tabel2[[#This Row],[GT 3]])/Tabel2[[#This Row],[AW 3]]*10+Tabel2[[#This Row],[BONUS 3]]</f>
        <v>0</v>
      </c>
      <c r="AG142">
        <v>1</v>
      </c>
      <c r="AK142" s="23">
        <f>SUM(Tabel2[[#This Row],[V 4]]*10+Tabel2[[#This Row],[GT 4]])/Tabel2[[#This Row],[AW 4]]*10+Tabel2[[#This Row],[BONUS 4]]</f>
        <v>0</v>
      </c>
      <c r="AM142">
        <v>1</v>
      </c>
      <c r="AQ142" s="23">
        <f>SUM(Tabel2[[#This Row],[V 5]]*10+Tabel2[[#This Row],[GT 5]])/Tabel2[[#This Row],[AW 5]]*10+Tabel2[[#This Row],[BONUS 5]]</f>
        <v>0</v>
      </c>
      <c r="AS142">
        <v>1</v>
      </c>
      <c r="AW142" s="23">
        <f>SUM(Tabel2[[#This Row],[V 6]]*10+Tabel2[[#This Row],[GT 6]])/Tabel2[[#This Row],[AW 6]]*10+Tabel2[[#This Row],[BONUS 6]]</f>
        <v>0</v>
      </c>
      <c r="AY142">
        <v>1</v>
      </c>
      <c r="BC142" s="23">
        <f>SUM(Tabel2[[#This Row],[V 7]]*10+Tabel2[[#This Row],[GT 7]])/Tabel2[[#This Row],[AW 7]]*10+Tabel2[[#This Row],[BONUS 7]]</f>
        <v>0</v>
      </c>
      <c r="BE142">
        <v>1</v>
      </c>
      <c r="BI142" s="23">
        <f>SUM(Tabel2[[#This Row],[V 8]]*10+Tabel2[[#This Row],[GT 8]])/Tabel2[[#This Row],[AW 8]]*10+Tabel2[[#This Row],[BONUS 8]]</f>
        <v>0</v>
      </c>
      <c r="BK142">
        <v>1</v>
      </c>
      <c r="BO142" s="2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30">
        <f>Tabel2[[#This Row],[Diploma]]-Tabel2[[#This Row],[Uitgeschreven]]</f>
        <v>0</v>
      </c>
      <c r="BY142" s="2" t="str">
        <f>IF(BX142=0,"geen actie",CONCATENATE("diploma uitschrijven: ",BV142," punten"))</f>
        <v>geen actie</v>
      </c>
      <c r="CA142" s="150">
        <f>Tabel2[[#This Row],[pnt t/m 2021/22]]</f>
        <v>191.54761904761904</v>
      </c>
      <c r="CB142" s="150">
        <f>Tabel2[[#This Row],[pnt 2022/2023]]</f>
        <v>0</v>
      </c>
      <c r="CC142" s="150">
        <f t="shared" si="18"/>
        <v>191.54761904761904</v>
      </c>
      <c r="CD142" s="150">
        <f>IF(Tabel2[[#This Row],[LPR 1]]&gt;0,1,0)</f>
        <v>0</v>
      </c>
      <c r="CE142" s="150">
        <f>IF(Tabel2[[#This Row],[LPR 2]]&gt;0,1,0)</f>
        <v>0</v>
      </c>
      <c r="CF142" s="150">
        <f>IF(Tabel2[[#This Row],[LPR 3]]&gt;0,1,0)</f>
        <v>0</v>
      </c>
      <c r="CG142" s="150">
        <f>IF(Tabel2[[#This Row],[LPR 4]]&gt;0,1,0)</f>
        <v>0</v>
      </c>
      <c r="CH142" s="150">
        <f>IF(Tabel2[[#This Row],[LPR 5]]&gt;0,1,0)</f>
        <v>0</v>
      </c>
      <c r="CI142" s="150">
        <f>IF(Tabel2[[#This Row],[LPR 6]]&gt;0,1,0)</f>
        <v>0</v>
      </c>
      <c r="CJ142" s="150">
        <f>IF(Tabel2[[#This Row],[LPR 7]]&gt;0,1,0)</f>
        <v>0</v>
      </c>
      <c r="CK142" s="150">
        <f>IF(Tabel2[[#This Row],[LPR 8]]&gt;0,1,0)</f>
        <v>0</v>
      </c>
      <c r="CL142" s="150">
        <f>IF(Tabel2[[#This Row],[LPR 9]]&gt;0,1,0)</f>
        <v>0</v>
      </c>
      <c r="CM142" s="150">
        <f>IF(Tabel2[[#This Row],[LPR 10]]&gt;0,1,0)</f>
        <v>0</v>
      </c>
      <c r="CN142" s="150">
        <f>SUM(Tabel7[[#This Row],[sep]:[jun]])</f>
        <v>0</v>
      </c>
      <c r="CO142" s="22" t="str">
        <f t="shared" si="13"/>
        <v/>
      </c>
      <c r="CP142" s="22" t="str">
        <f t="shared" si="14"/>
        <v/>
      </c>
      <c r="CQ142" s="22" t="str">
        <f t="shared" si="15"/>
        <v/>
      </c>
      <c r="CR142" s="22" t="str">
        <f t="shared" si="16"/>
        <v/>
      </c>
      <c r="CS142" s="22" t="str">
        <f t="shared" si="17"/>
        <v/>
      </c>
    </row>
    <row r="143" spans="1:97" x14ac:dyDescent="0.3">
      <c r="A143" s="22" t="s">
        <v>143</v>
      </c>
      <c r="B143" s="22" t="s">
        <v>778</v>
      </c>
      <c r="D143" s="22" t="s">
        <v>783</v>
      </c>
      <c r="E143" t="s">
        <v>300</v>
      </c>
      <c r="F143" s="22">
        <v>118760</v>
      </c>
      <c r="G143" s="25" t="s">
        <v>147</v>
      </c>
      <c r="H143" s="142">
        <f>Tabel2[[#This Row],[pnt t/m 2021/22]]+Tabel2[[#This Row],[pnt 2022/2023]]</f>
        <v>1502.6230158730161</v>
      </c>
      <c r="I143">
        <v>2010</v>
      </c>
      <c r="J143">
        <v>2023</v>
      </c>
      <c r="K143" s="24">
        <f>Tabel2[[#This Row],[ijkdatum]]-Tabel2[[#This Row],[Geboren]]</f>
        <v>13</v>
      </c>
      <c r="L143" s="26">
        <f>Tabel2[[#This Row],[TTL 1]]+Tabel2[[#This Row],[TTL 2]]+Tabel2[[#This Row],[TTL 3]]+Tabel2[[#This Row],[TTL 4]]+Tabel2[[#This Row],[TTL 5]]+Tabel2[[#This Row],[TTL 6]]+Tabel2[[#This Row],[TTL 7]]+Tabel2[[#This Row],[TTL 8]]+Tabel2[[#This Row],[TTL 9]]+Tabel2[[#This Row],[TTL 10]]</f>
        <v>77.142857142857139</v>
      </c>
      <c r="M143" s="141">
        <v>1425.480158730159</v>
      </c>
      <c r="N143">
        <v>6</v>
      </c>
      <c r="O143">
        <v>7</v>
      </c>
      <c r="P143">
        <v>3</v>
      </c>
      <c r="Q143">
        <v>24</v>
      </c>
      <c r="S143" s="23">
        <f>SUM(Tabel2[[#This Row],[V 1]]*10+Tabel2[[#This Row],[GT 1]])/Tabel2[[#This Row],[AW 1]]*10+Tabel2[[#This Row],[BONUS 1]]</f>
        <v>77.142857142857139</v>
      </c>
      <c r="U143">
        <v>1</v>
      </c>
      <c r="Y143" s="23">
        <f>SUM(Tabel2[[#This Row],[V 2]]*10+Tabel2[[#This Row],[GT 2]])/Tabel2[[#This Row],[AW 2]]*10+Tabel2[[#This Row],[BONUS 2]]</f>
        <v>0</v>
      </c>
      <c r="AA143">
        <v>1</v>
      </c>
      <c r="AE143" s="23">
        <f>SUM(Tabel2[[#This Row],[V 3]]*10+Tabel2[[#This Row],[GT 3]])/Tabel2[[#This Row],[AW 3]]*10+Tabel2[[#This Row],[BONUS 3]]</f>
        <v>0</v>
      </c>
      <c r="AG143">
        <v>1</v>
      </c>
      <c r="AK143" s="23">
        <f>SUM(Tabel2[[#This Row],[V 4]]*10+Tabel2[[#This Row],[GT 4]])/Tabel2[[#This Row],[AW 4]]*10+Tabel2[[#This Row],[BONUS 4]]</f>
        <v>0</v>
      </c>
      <c r="AM143">
        <v>1</v>
      </c>
      <c r="AQ143" s="23">
        <f>SUM(Tabel2[[#This Row],[V 5]]*10+Tabel2[[#This Row],[GT 5]])/Tabel2[[#This Row],[AW 5]]*10+Tabel2[[#This Row],[BONUS 5]]</f>
        <v>0</v>
      </c>
      <c r="AS143">
        <v>1</v>
      </c>
      <c r="AW143" s="23">
        <f>SUM(Tabel2[[#This Row],[V 6]]*10+Tabel2[[#This Row],[GT 6]])/Tabel2[[#This Row],[AW 6]]*10+Tabel2[[#This Row],[BONUS 6]]</f>
        <v>0</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3" s="22">
        <v>1500</v>
      </c>
      <c r="BX143" s="30">
        <f>Tabel2[[#This Row],[Diploma]]-Tabel2[[#This Row],[Uitgeschreven]]</f>
        <v>0</v>
      </c>
      <c r="BY143" s="2" t="str">
        <f>IF(BX143=0,"geen actie",CONCATENATE("diploma uitschrijven: ",BV143," punten"))</f>
        <v>geen actie</v>
      </c>
      <c r="CA143" s="150">
        <f>Tabel2[[#This Row],[pnt t/m 2021/22]]</f>
        <v>1425.480158730159</v>
      </c>
      <c r="CB143" s="150">
        <f>Tabel2[[#This Row],[pnt 2022/2023]]</f>
        <v>77.142857142857139</v>
      </c>
      <c r="CC143" s="150">
        <f t="shared" si="18"/>
        <v>1502.6230158730161</v>
      </c>
      <c r="CD143" s="150">
        <f>IF(Tabel2[[#This Row],[LPR 1]]&gt;0,1,0)</f>
        <v>1</v>
      </c>
      <c r="CE143" s="150">
        <f>IF(Tabel2[[#This Row],[LPR 2]]&gt;0,1,0)</f>
        <v>0</v>
      </c>
      <c r="CF143" s="150">
        <f>IF(Tabel2[[#This Row],[LPR 3]]&gt;0,1,0)</f>
        <v>0</v>
      </c>
      <c r="CG143" s="150">
        <f>IF(Tabel2[[#This Row],[LPR 4]]&gt;0,1,0)</f>
        <v>0</v>
      </c>
      <c r="CH143" s="150">
        <f>IF(Tabel2[[#This Row],[LPR 5]]&gt;0,1,0)</f>
        <v>0</v>
      </c>
      <c r="CI143" s="150">
        <f>IF(Tabel2[[#This Row],[LPR 6]]&gt;0,1,0)</f>
        <v>0</v>
      </c>
      <c r="CJ143" s="150">
        <f>IF(Tabel2[[#This Row],[LPR 7]]&gt;0,1,0)</f>
        <v>0</v>
      </c>
      <c r="CK143" s="150">
        <f>IF(Tabel2[[#This Row],[LPR 8]]&gt;0,1,0)</f>
        <v>0</v>
      </c>
      <c r="CL143" s="150">
        <f>IF(Tabel2[[#This Row],[LPR 9]]&gt;0,1,0)</f>
        <v>0</v>
      </c>
      <c r="CM143" s="150">
        <f>IF(Tabel2[[#This Row],[LPR 10]]&gt;0,1,0)</f>
        <v>0</v>
      </c>
      <c r="CN143" s="150">
        <f>SUM(Tabel7[[#This Row],[sep]:[jun]])</f>
        <v>1</v>
      </c>
      <c r="CO143" s="22" t="str">
        <f t="shared" si="13"/>
        <v/>
      </c>
      <c r="CP143" s="22" t="str">
        <f t="shared" si="14"/>
        <v>x</v>
      </c>
      <c r="CQ143" s="22" t="str">
        <f t="shared" si="15"/>
        <v/>
      </c>
      <c r="CR143" s="22" t="str">
        <f t="shared" si="16"/>
        <v/>
      </c>
      <c r="CS143" s="22" t="str">
        <f t="shared" si="17"/>
        <v/>
      </c>
    </row>
    <row r="144" spans="1:97" x14ac:dyDescent="0.3">
      <c r="A144" s="22" t="s">
        <v>135</v>
      </c>
      <c r="B144" s="22" t="s">
        <v>778</v>
      </c>
      <c r="D144" s="22" t="s">
        <v>137</v>
      </c>
      <c r="E144" t="s">
        <v>305</v>
      </c>
      <c r="F144" s="22">
        <v>116743</v>
      </c>
      <c r="G144" s="25" t="s">
        <v>287</v>
      </c>
      <c r="H144" s="142">
        <f>Tabel2[[#This Row],[pnt t/m 2021/22]]+Tabel2[[#This Row],[pnt 2022/2023]]</f>
        <v>242</v>
      </c>
      <c r="I144">
        <v>2005</v>
      </c>
      <c r="J144">
        <v>2023</v>
      </c>
      <c r="K144" s="24">
        <f>Tabel2[[#This Row],[ijkdatum]]-Tabel2[[#This Row],[Geboren]]</f>
        <v>18</v>
      </c>
      <c r="L144" s="26">
        <f>Tabel2[[#This Row],[TTL 1]]+Tabel2[[#This Row],[TTL 2]]+Tabel2[[#This Row],[TTL 3]]+Tabel2[[#This Row],[TTL 4]]+Tabel2[[#This Row],[TTL 5]]+Tabel2[[#This Row],[TTL 6]]+Tabel2[[#This Row],[TTL 7]]+Tabel2[[#This Row],[TTL 8]]+Tabel2[[#This Row],[TTL 9]]+Tabel2[[#This Row],[TTL 10]]</f>
        <v>0</v>
      </c>
      <c r="M144" s="141">
        <v>242</v>
      </c>
      <c r="O144">
        <v>1</v>
      </c>
      <c r="S144" s="23">
        <f>SUM(Tabel2[[#This Row],[V 1]]*10+Tabel2[[#This Row],[GT 1]])/Tabel2[[#This Row],[AW 1]]*10+Tabel2[[#This Row],[BONUS 1]]</f>
        <v>0</v>
      </c>
      <c r="U144">
        <v>1</v>
      </c>
      <c r="Y144" s="23">
        <f>SUM(Tabel2[[#This Row],[V 2]]*10+Tabel2[[#This Row],[GT 2]])/Tabel2[[#This Row],[AW 2]]*10+Tabel2[[#This Row],[BONUS 2]]</f>
        <v>0</v>
      </c>
      <c r="AA144">
        <v>1</v>
      </c>
      <c r="AE144" s="23">
        <f>SUM(Tabel2[[#This Row],[V 3]]*10+Tabel2[[#This Row],[GT 3]])/Tabel2[[#This Row],[AW 3]]*10+Tabel2[[#This Row],[BONUS 3]]</f>
        <v>0</v>
      </c>
      <c r="AG144">
        <v>1</v>
      </c>
      <c r="AK144" s="23">
        <f>SUM(Tabel2[[#This Row],[V 4]]*10+Tabel2[[#This Row],[GT 4]])/Tabel2[[#This Row],[AW 4]]*10+Tabel2[[#This Row],[BONUS 4]]</f>
        <v>0</v>
      </c>
      <c r="AM144">
        <v>1</v>
      </c>
      <c r="AQ144" s="23">
        <f>SUM(Tabel2[[#This Row],[V 5]]*10+Tabel2[[#This Row],[GT 5]])/Tabel2[[#This Row],[AW 5]]*10+Tabel2[[#This Row],[BONUS 5]]</f>
        <v>0</v>
      </c>
      <c r="AS144">
        <v>1</v>
      </c>
      <c r="AW144" s="23">
        <f>SUM(Tabel2[[#This Row],[V 6]]*10+Tabel2[[#This Row],[GT 6]])/Tabel2[[#This Row],[AW 6]]*10+Tabel2[[#This Row],[BONUS 6]]</f>
        <v>0</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44" s="30">
        <f>Tabel2[[#This Row],[Diploma]]-Tabel2[[#This Row],[Uitgeschreven]]</f>
        <v>0</v>
      </c>
      <c r="BY144" s="2" t="str">
        <f>IF(BX144=0,"geen actie",CONCATENATE("diploma uitschrijven: ",BV144," punten"))</f>
        <v>geen actie</v>
      </c>
      <c r="CA144" s="150">
        <f>Tabel2[[#This Row],[pnt t/m 2021/22]]</f>
        <v>242</v>
      </c>
      <c r="CB144" s="150">
        <f>Tabel2[[#This Row],[pnt 2022/2023]]</f>
        <v>0</v>
      </c>
      <c r="CC144" s="150">
        <f t="shared" si="18"/>
        <v>242</v>
      </c>
      <c r="CD144" s="150">
        <f>IF(Tabel2[[#This Row],[LPR 1]]&gt;0,1,0)</f>
        <v>0</v>
      </c>
      <c r="CE144" s="150">
        <f>IF(Tabel2[[#This Row],[LPR 2]]&gt;0,1,0)</f>
        <v>0</v>
      </c>
      <c r="CF144" s="150">
        <f>IF(Tabel2[[#This Row],[LPR 3]]&gt;0,1,0)</f>
        <v>0</v>
      </c>
      <c r="CG144" s="150">
        <f>IF(Tabel2[[#This Row],[LPR 4]]&gt;0,1,0)</f>
        <v>0</v>
      </c>
      <c r="CH144" s="150">
        <f>IF(Tabel2[[#This Row],[LPR 5]]&gt;0,1,0)</f>
        <v>0</v>
      </c>
      <c r="CI144" s="150">
        <f>IF(Tabel2[[#This Row],[LPR 6]]&gt;0,1,0)</f>
        <v>0</v>
      </c>
      <c r="CJ144" s="150">
        <f>IF(Tabel2[[#This Row],[LPR 7]]&gt;0,1,0)</f>
        <v>0</v>
      </c>
      <c r="CK144" s="150">
        <f>IF(Tabel2[[#This Row],[LPR 8]]&gt;0,1,0)</f>
        <v>0</v>
      </c>
      <c r="CL144" s="150">
        <f>IF(Tabel2[[#This Row],[LPR 9]]&gt;0,1,0)</f>
        <v>0</v>
      </c>
      <c r="CM144" s="150">
        <f>IF(Tabel2[[#This Row],[LPR 10]]&gt;0,1,0)</f>
        <v>0</v>
      </c>
      <c r="CN144" s="150">
        <f>SUM(Tabel7[[#This Row],[sep]:[jun]])</f>
        <v>0</v>
      </c>
      <c r="CO144" s="22" t="str">
        <f t="shared" si="13"/>
        <v/>
      </c>
      <c r="CP144" s="22" t="str">
        <f t="shared" si="14"/>
        <v/>
      </c>
      <c r="CQ144" s="22" t="str">
        <f t="shared" si="15"/>
        <v/>
      </c>
      <c r="CR144" s="22" t="str">
        <f t="shared" si="16"/>
        <v/>
      </c>
      <c r="CS144" s="22" t="str">
        <f t="shared" si="17"/>
        <v/>
      </c>
    </row>
    <row r="145" spans="1:97" x14ac:dyDescent="0.3">
      <c r="A145" s="22" t="s">
        <v>140</v>
      </c>
      <c r="B145" s="22" t="s">
        <v>778</v>
      </c>
      <c r="D145" s="22" t="s">
        <v>137</v>
      </c>
      <c r="E145" t="s">
        <v>306</v>
      </c>
      <c r="G145" s="25" t="s">
        <v>171</v>
      </c>
      <c r="H145" s="23">
        <f>Tabel2[[#This Row],[pnt t/m 2021/22]]+Tabel2[[#This Row],[pnt 2022/2023]]</f>
        <v>20</v>
      </c>
      <c r="I145">
        <v>2012</v>
      </c>
      <c r="J145">
        <v>2023</v>
      </c>
      <c r="K145" s="24">
        <f>Tabel2[[#This Row],[ijkdatum]]-Tabel2[[#This Row],[Geboren]]</f>
        <v>11</v>
      </c>
      <c r="L145" s="26">
        <f>Tabel2[[#This Row],[TTL 1]]+Tabel2[[#This Row],[TTL 2]]+Tabel2[[#This Row],[TTL 3]]+Tabel2[[#This Row],[TTL 4]]+Tabel2[[#This Row],[TTL 5]]+Tabel2[[#This Row],[TTL 6]]+Tabel2[[#This Row],[TTL 7]]+Tabel2[[#This Row],[TTL 8]]+Tabel2[[#This Row],[TTL 9]]+Tabel2[[#This Row],[TTL 10]]</f>
        <v>0</v>
      </c>
      <c r="M145" s="153">
        <v>20</v>
      </c>
      <c r="O145">
        <v>1</v>
      </c>
      <c r="S145" s="153">
        <f>SUM(Tabel2[[#This Row],[V 1]]*10+Tabel2[[#This Row],[GT 1]])/Tabel2[[#This Row],[AW 1]]*10+Tabel2[[#This Row],[BONUS 1]]</f>
        <v>0</v>
      </c>
      <c r="U145">
        <v>1</v>
      </c>
      <c r="Y145" s="153">
        <f>SUM(Tabel2[[#This Row],[V 2]]*10+Tabel2[[#This Row],[GT 2]])/Tabel2[[#This Row],[AW 2]]*10+Tabel2[[#This Row],[BONUS 2]]</f>
        <v>0</v>
      </c>
      <c r="AA145">
        <v>1</v>
      </c>
      <c r="AE145" s="153">
        <f>SUM(Tabel2[[#This Row],[V 3]]*10+Tabel2[[#This Row],[GT 3]])/Tabel2[[#This Row],[AW 3]]*10+Tabel2[[#This Row],[BONUS 3]]</f>
        <v>0</v>
      </c>
      <c r="AG145">
        <v>1</v>
      </c>
      <c r="AK145" s="153">
        <f>SUM(Tabel2[[#This Row],[V 4]]*10+Tabel2[[#This Row],[GT 4]])/Tabel2[[#This Row],[AW 4]]*10+Tabel2[[#This Row],[BONUS 4]]</f>
        <v>0</v>
      </c>
      <c r="AM145">
        <v>1</v>
      </c>
      <c r="AQ145" s="153">
        <f>SUM(Tabel2[[#This Row],[V 5]]*10+Tabel2[[#This Row],[GT 5]])/Tabel2[[#This Row],[AW 5]]*10+Tabel2[[#This Row],[BONUS 5]]</f>
        <v>0</v>
      </c>
      <c r="AS145">
        <v>1</v>
      </c>
      <c r="AW145" s="153">
        <f>SUM(Tabel2[[#This Row],[V 6]]*10+Tabel2[[#This Row],[GT 6]])/Tabel2[[#This Row],[AW 6]]*10+Tabel2[[#This Row],[BONUS 6]]</f>
        <v>0</v>
      </c>
      <c r="AY145">
        <v>1</v>
      </c>
      <c r="BC145" s="153">
        <f>SUM(Tabel2[[#This Row],[V 7]]*10+Tabel2[[#This Row],[GT 7]])/Tabel2[[#This Row],[AW 7]]*10+Tabel2[[#This Row],[BONUS 7]]</f>
        <v>0</v>
      </c>
      <c r="BE145">
        <v>1</v>
      </c>
      <c r="BI145" s="23">
        <f>SUM(Tabel2[[#This Row],[V 8]]*10+Tabel2[[#This Row],[GT 8]])/Tabel2[[#This Row],[AW 8]]*10+Tabel2[[#This Row],[BONUS 8]]</f>
        <v>0</v>
      </c>
      <c r="BK145">
        <v>1</v>
      </c>
      <c r="BO145" s="153">
        <f>SUM(Tabel2[[#This Row],[V 9]]*10+Tabel2[[#This Row],[GT 9]])/Tabel2[[#This Row],[AW 9]]*10+Tabel2[[#This Row],[BONUS 9]]</f>
        <v>0</v>
      </c>
      <c r="BQ145">
        <v>1</v>
      </c>
      <c r="BU145" s="23">
        <f>SUM(Tabel2[[#This Row],[V 10]]*10+Tabel2[[#This Row],[GT 10]])/Tabel2[[#This Row],[AW 10]]*10+Tabel2[[#This Row],[BONUS 10]]</f>
        <v>0</v>
      </c>
      <c r="BV14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5" s="22">
        <v>0</v>
      </c>
      <c r="BX145" s="22">
        <f>Tabel2[[#This Row],[Diploma]]-Tabel2[[#This Row],[Uitgeschreven]]</f>
        <v>0</v>
      </c>
      <c r="BY145" s="155" t="str">
        <f>IF(BX145=0,"geen actie",CONCATENATE("diploma uitschrijven: ",BV145," punten"))</f>
        <v>geen actie</v>
      </c>
      <c r="CA145" s="150">
        <f>Tabel2[[#This Row],[pnt t/m 2021/22]]</f>
        <v>20</v>
      </c>
      <c r="CB145" s="150">
        <f>Tabel2[[#This Row],[pnt 2022/2023]]</f>
        <v>0</v>
      </c>
      <c r="CC145" s="150">
        <f t="shared" si="18"/>
        <v>20</v>
      </c>
      <c r="CD145" s="150">
        <f>IF(Tabel2[[#This Row],[LPR 1]]&gt;0,1,0)</f>
        <v>0</v>
      </c>
      <c r="CE145" s="150">
        <f>IF(Tabel2[[#This Row],[LPR 2]]&gt;0,1,0)</f>
        <v>0</v>
      </c>
      <c r="CF145" s="150">
        <f>IF(Tabel2[[#This Row],[LPR 3]]&gt;0,1,0)</f>
        <v>0</v>
      </c>
      <c r="CG145" s="150">
        <f>IF(Tabel2[[#This Row],[LPR 4]]&gt;0,1,0)</f>
        <v>0</v>
      </c>
      <c r="CH145" s="150">
        <f>IF(Tabel2[[#This Row],[LPR 5]]&gt;0,1,0)</f>
        <v>0</v>
      </c>
      <c r="CI145" s="150">
        <f>IF(Tabel2[[#This Row],[LPR 6]]&gt;0,1,0)</f>
        <v>0</v>
      </c>
      <c r="CJ145" s="150">
        <f>IF(Tabel2[[#This Row],[LPR 7]]&gt;0,1,0)</f>
        <v>0</v>
      </c>
      <c r="CK145" s="150">
        <f>IF(Tabel2[[#This Row],[LPR 8]]&gt;0,1,0)</f>
        <v>0</v>
      </c>
      <c r="CL145" s="150">
        <f>IF(Tabel2[[#This Row],[LPR 9]]&gt;0,1,0)</f>
        <v>0</v>
      </c>
      <c r="CM145" s="150">
        <f>IF(Tabel2[[#This Row],[LPR 10]]&gt;0,1,0)</f>
        <v>0</v>
      </c>
      <c r="CN145" s="150">
        <f>SUM(Tabel7[[#This Row],[sep]:[jun]])</f>
        <v>0</v>
      </c>
      <c r="CO145" s="22" t="str">
        <f t="shared" si="13"/>
        <v/>
      </c>
      <c r="CP145" s="22" t="str">
        <f t="shared" si="14"/>
        <v/>
      </c>
      <c r="CQ145" s="22" t="str">
        <f t="shared" si="15"/>
        <v/>
      </c>
      <c r="CR145" s="22" t="str">
        <f t="shared" si="16"/>
        <v/>
      </c>
      <c r="CS145" s="22" t="str">
        <f t="shared" si="17"/>
        <v/>
      </c>
    </row>
    <row r="146" spans="1:97" x14ac:dyDescent="0.3">
      <c r="A146" s="22" t="s">
        <v>169</v>
      </c>
      <c r="B146" s="22" t="s">
        <v>778</v>
      </c>
      <c r="D146" s="22" t="s">
        <v>137</v>
      </c>
      <c r="E146" t="s">
        <v>307</v>
      </c>
      <c r="G146" s="25" t="s">
        <v>171</v>
      </c>
      <c r="H146" s="23">
        <f>Tabel2[[#This Row],[pnt t/m 2021/22]]+Tabel2[[#This Row],[pnt 2022/2023]]</f>
        <v>98.541666666666657</v>
      </c>
      <c r="I146">
        <v>2014</v>
      </c>
      <c r="J146">
        <v>2023</v>
      </c>
      <c r="K146" s="24">
        <f>Tabel2[[#This Row],[ijkdatum]]-Tabel2[[#This Row],[Geboren]]</f>
        <v>9</v>
      </c>
      <c r="L146" s="26">
        <f>Tabel2[[#This Row],[TTL 1]]+Tabel2[[#This Row],[TTL 2]]+Tabel2[[#This Row],[TTL 3]]+Tabel2[[#This Row],[TTL 4]]+Tabel2[[#This Row],[TTL 5]]+Tabel2[[#This Row],[TTL 6]]+Tabel2[[#This Row],[TTL 7]]+Tabel2[[#This Row],[TTL 8]]+Tabel2[[#This Row],[TTL 9]]+Tabel2[[#This Row],[TTL 10]]</f>
        <v>0</v>
      </c>
      <c r="M146" s="153">
        <v>98.541666666666657</v>
      </c>
      <c r="O146">
        <v>1</v>
      </c>
      <c r="S146" s="153">
        <f>SUM(Tabel2[[#This Row],[V 1]]*10+Tabel2[[#This Row],[GT 1]])/Tabel2[[#This Row],[AW 1]]*10+Tabel2[[#This Row],[BONUS 1]]</f>
        <v>0</v>
      </c>
      <c r="U146">
        <v>1</v>
      </c>
      <c r="Y146" s="153">
        <f>SUM(Tabel2[[#This Row],[V 2]]*10+Tabel2[[#This Row],[GT 2]])/Tabel2[[#This Row],[AW 2]]*10+Tabel2[[#This Row],[BONUS 2]]</f>
        <v>0</v>
      </c>
      <c r="AA146">
        <v>1</v>
      </c>
      <c r="AE146" s="153">
        <f>SUM(Tabel2[[#This Row],[V 3]]*10+Tabel2[[#This Row],[GT 3]])/Tabel2[[#This Row],[AW 3]]*10+Tabel2[[#This Row],[BONUS 3]]</f>
        <v>0</v>
      </c>
      <c r="AG146">
        <v>1</v>
      </c>
      <c r="AK146" s="153">
        <f>SUM(Tabel2[[#This Row],[V 4]]*10+Tabel2[[#This Row],[GT 4]])/Tabel2[[#This Row],[AW 4]]*10+Tabel2[[#This Row],[BONUS 4]]</f>
        <v>0</v>
      </c>
      <c r="AM146">
        <v>1</v>
      </c>
      <c r="AQ146" s="153">
        <f>SUM(Tabel2[[#This Row],[V 5]]*10+Tabel2[[#This Row],[GT 5]])/Tabel2[[#This Row],[AW 5]]*10+Tabel2[[#This Row],[BONUS 5]]</f>
        <v>0</v>
      </c>
      <c r="AS146">
        <v>1</v>
      </c>
      <c r="AW146" s="153">
        <f>SUM(Tabel2[[#This Row],[V 6]]*10+Tabel2[[#This Row],[GT 6]])/Tabel2[[#This Row],[AW 6]]*10+Tabel2[[#This Row],[BONUS 6]]</f>
        <v>0</v>
      </c>
      <c r="AY146">
        <v>1</v>
      </c>
      <c r="BC146" s="153">
        <f>SUM(Tabel2[[#This Row],[V 7]]*10+Tabel2[[#This Row],[GT 7]])/Tabel2[[#This Row],[AW 7]]*10+Tabel2[[#This Row],[BONUS 7]]</f>
        <v>0</v>
      </c>
      <c r="BE146">
        <v>1</v>
      </c>
      <c r="BI146" s="23">
        <f>SUM(Tabel2[[#This Row],[V 8]]*10+Tabel2[[#This Row],[GT 8]])/Tabel2[[#This Row],[AW 8]]*10+Tabel2[[#This Row],[BONUS 8]]</f>
        <v>0</v>
      </c>
      <c r="BK146">
        <v>1</v>
      </c>
      <c r="BO146" s="153">
        <f>SUM(Tabel2[[#This Row],[V 9]]*10+Tabel2[[#This Row],[GT 9]])/Tabel2[[#This Row],[AW 9]]*10+Tabel2[[#This Row],[BONUS 9]]</f>
        <v>0</v>
      </c>
      <c r="BQ146">
        <v>1</v>
      </c>
      <c r="BU146" s="23">
        <f>SUM(Tabel2[[#This Row],[V 10]]*10+Tabel2[[#This Row],[GT 10]])/Tabel2[[#This Row],[AW 10]]*10+Tabel2[[#This Row],[BONUS 10]]</f>
        <v>0</v>
      </c>
      <c r="BV14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6" s="22">
        <v>0</v>
      </c>
      <c r="BX146" s="22">
        <f>Tabel2[[#This Row],[Diploma]]-Tabel2[[#This Row],[Uitgeschreven]]</f>
        <v>0</v>
      </c>
      <c r="BY146" s="155" t="str">
        <f>IF(BX146=0,"geen actie",CONCATENATE("diploma uitschrijven: ",BV146," punten"))</f>
        <v>geen actie</v>
      </c>
      <c r="CA146" s="150">
        <f>Tabel2[[#This Row],[pnt t/m 2021/22]]</f>
        <v>98.541666666666657</v>
      </c>
      <c r="CB146" s="150">
        <f>Tabel2[[#This Row],[pnt 2022/2023]]</f>
        <v>0</v>
      </c>
      <c r="CC146" s="150">
        <f t="shared" si="18"/>
        <v>98.541666666666657</v>
      </c>
      <c r="CD146" s="150">
        <f>IF(Tabel2[[#This Row],[LPR 1]]&gt;0,1,0)</f>
        <v>0</v>
      </c>
      <c r="CE146" s="150">
        <f>IF(Tabel2[[#This Row],[LPR 2]]&gt;0,1,0)</f>
        <v>0</v>
      </c>
      <c r="CF146" s="150">
        <f>IF(Tabel2[[#This Row],[LPR 3]]&gt;0,1,0)</f>
        <v>0</v>
      </c>
      <c r="CG146" s="150">
        <f>IF(Tabel2[[#This Row],[LPR 4]]&gt;0,1,0)</f>
        <v>0</v>
      </c>
      <c r="CH146" s="150">
        <f>IF(Tabel2[[#This Row],[LPR 5]]&gt;0,1,0)</f>
        <v>0</v>
      </c>
      <c r="CI146" s="150">
        <f>IF(Tabel2[[#This Row],[LPR 6]]&gt;0,1,0)</f>
        <v>0</v>
      </c>
      <c r="CJ146" s="150">
        <f>IF(Tabel2[[#This Row],[LPR 7]]&gt;0,1,0)</f>
        <v>0</v>
      </c>
      <c r="CK146" s="150">
        <f>IF(Tabel2[[#This Row],[LPR 8]]&gt;0,1,0)</f>
        <v>0</v>
      </c>
      <c r="CL146" s="150">
        <f>IF(Tabel2[[#This Row],[LPR 9]]&gt;0,1,0)</f>
        <v>0</v>
      </c>
      <c r="CM146" s="150">
        <f>IF(Tabel2[[#This Row],[LPR 10]]&gt;0,1,0)</f>
        <v>0</v>
      </c>
      <c r="CN146" s="150">
        <f>SUM(Tabel7[[#This Row],[sep]:[jun]])</f>
        <v>0</v>
      </c>
      <c r="CO146" s="22" t="str">
        <f t="shared" si="13"/>
        <v/>
      </c>
      <c r="CP146" s="22" t="str">
        <f t="shared" si="14"/>
        <v/>
      </c>
      <c r="CQ146" s="22" t="str">
        <f t="shared" si="15"/>
        <v/>
      </c>
      <c r="CR146" s="22" t="str">
        <f t="shared" si="16"/>
        <v/>
      </c>
      <c r="CS146" s="22" t="str">
        <f t="shared" si="17"/>
        <v/>
      </c>
    </row>
    <row r="147" spans="1:97" x14ac:dyDescent="0.3">
      <c r="A147" s="22" t="s">
        <v>135</v>
      </c>
      <c r="B147" s="22" t="s">
        <v>778</v>
      </c>
      <c r="D147" s="22" t="s">
        <v>783</v>
      </c>
      <c r="E147" t="s">
        <v>304</v>
      </c>
      <c r="F147" s="22">
        <v>116760</v>
      </c>
      <c r="G147" s="25" t="s">
        <v>180</v>
      </c>
      <c r="H147" s="142">
        <f>Tabel2[[#This Row],[pnt t/m 2021/22]]+Tabel2[[#This Row],[pnt 2022/2023]]</f>
        <v>2582.666666666667</v>
      </c>
      <c r="I147">
        <v>2007</v>
      </c>
      <c r="J147">
        <v>2023</v>
      </c>
      <c r="K147" s="24">
        <f>Tabel2[[#This Row],[ijkdatum]]-Tabel2[[#This Row],[Geboren]]</f>
        <v>16</v>
      </c>
      <c r="L147" s="26">
        <f>Tabel2[[#This Row],[TTL 1]]+Tabel2[[#This Row],[TTL 2]]+Tabel2[[#This Row],[TTL 3]]+Tabel2[[#This Row],[TTL 4]]+Tabel2[[#This Row],[TTL 5]]+Tabel2[[#This Row],[TTL 6]]+Tabel2[[#This Row],[TTL 7]]+Tabel2[[#This Row],[TTL 8]]+Tabel2[[#This Row],[TTL 9]]+Tabel2[[#This Row],[TTL 10]]</f>
        <v>110</v>
      </c>
      <c r="M147" s="141">
        <v>2472.666666666667</v>
      </c>
      <c r="N147">
        <v>1</v>
      </c>
      <c r="O147">
        <v>10</v>
      </c>
      <c r="P147">
        <v>7</v>
      </c>
      <c r="Q147">
        <v>40</v>
      </c>
      <c r="S147" s="23">
        <f>SUM(Tabel2[[#This Row],[V 1]]*10+Tabel2[[#This Row],[GT 1]])/Tabel2[[#This Row],[AW 1]]*10+Tabel2[[#This Row],[BONUS 1]]</f>
        <v>110</v>
      </c>
      <c r="U147">
        <v>1</v>
      </c>
      <c r="Y147" s="23">
        <f>SUM(Tabel2[[#This Row],[V 2]]*10+Tabel2[[#This Row],[GT 2]])/Tabel2[[#This Row],[AW 2]]*10+Tabel2[[#This Row],[BONUS 2]]</f>
        <v>0</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 6]])/Tabel2[[#This Row],[AW 6]]*10+Tabel2[[#This Row],[BONUS 6]]</f>
        <v>0</v>
      </c>
      <c r="AY147">
        <v>1</v>
      </c>
      <c r="BC147" s="23">
        <f>SUM(Tabel2[[#This Row],[V 7]]*10+Tabel2[[#This Row],[GT 7]])/Tabel2[[#This Row],[AW 7]]*10+Tabel2[[#This Row],[BONUS 7]]</f>
        <v>0</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7" s="22">
        <v>2500</v>
      </c>
      <c r="BX147" s="30">
        <f>Tabel2[[#This Row],[Diploma]]-Tabel2[[#This Row],[Uitgeschreven]]</f>
        <v>0</v>
      </c>
      <c r="BY147" s="2" t="str">
        <f>IF(BX147=0,"geen actie",CONCATENATE("diploma uitschrijven: ",BV147," punten"))</f>
        <v>geen actie</v>
      </c>
      <c r="CA147" s="150">
        <f>Tabel2[[#This Row],[pnt t/m 2021/22]]</f>
        <v>2472.666666666667</v>
      </c>
      <c r="CB147" s="150">
        <f>Tabel2[[#This Row],[pnt 2022/2023]]</f>
        <v>110</v>
      </c>
      <c r="CC147" s="150">
        <f t="shared" si="18"/>
        <v>2582.666666666667</v>
      </c>
      <c r="CD147" s="150">
        <f>IF(Tabel2[[#This Row],[LPR 1]]&gt;0,1,0)</f>
        <v>1</v>
      </c>
      <c r="CE147" s="150">
        <f>IF(Tabel2[[#This Row],[LPR 2]]&gt;0,1,0)</f>
        <v>0</v>
      </c>
      <c r="CF147" s="150">
        <f>IF(Tabel2[[#This Row],[LPR 3]]&gt;0,1,0)</f>
        <v>0</v>
      </c>
      <c r="CG147" s="150">
        <f>IF(Tabel2[[#This Row],[LPR 4]]&gt;0,1,0)</f>
        <v>0</v>
      </c>
      <c r="CH147" s="150">
        <f>IF(Tabel2[[#This Row],[LPR 5]]&gt;0,1,0)</f>
        <v>0</v>
      </c>
      <c r="CI147" s="150">
        <f>IF(Tabel2[[#This Row],[LPR 6]]&gt;0,1,0)</f>
        <v>0</v>
      </c>
      <c r="CJ147" s="150">
        <f>IF(Tabel2[[#This Row],[LPR 7]]&gt;0,1,0)</f>
        <v>0</v>
      </c>
      <c r="CK147" s="150">
        <f>IF(Tabel2[[#This Row],[LPR 8]]&gt;0,1,0)</f>
        <v>0</v>
      </c>
      <c r="CL147" s="150">
        <f>IF(Tabel2[[#This Row],[LPR 9]]&gt;0,1,0)</f>
        <v>0</v>
      </c>
      <c r="CM147" s="150">
        <f>IF(Tabel2[[#This Row],[LPR 10]]&gt;0,1,0)</f>
        <v>0</v>
      </c>
      <c r="CN147" s="150">
        <f>SUM(Tabel7[[#This Row],[sep]:[jun]])</f>
        <v>1</v>
      </c>
      <c r="CO147" s="22" t="str">
        <f t="shared" si="13"/>
        <v/>
      </c>
      <c r="CP147" s="22" t="str">
        <f t="shared" si="14"/>
        <v/>
      </c>
      <c r="CQ147" s="22" t="str">
        <f t="shared" si="15"/>
        <v/>
      </c>
      <c r="CR147" s="22" t="str">
        <f t="shared" si="16"/>
        <v>x</v>
      </c>
      <c r="CS147" s="22" t="str">
        <f t="shared" si="17"/>
        <v/>
      </c>
    </row>
    <row r="148" spans="1:97" x14ac:dyDescent="0.3">
      <c r="A148" s="22" t="s">
        <v>153</v>
      </c>
      <c r="B148" s="22" t="s">
        <v>778</v>
      </c>
      <c r="D148" s="22" t="s">
        <v>137</v>
      </c>
      <c r="E148" t="s">
        <v>308</v>
      </c>
      <c r="F148" s="22">
        <v>118547</v>
      </c>
      <c r="G148" s="25" t="s">
        <v>309</v>
      </c>
      <c r="H148" s="142">
        <f>Tabel2[[#This Row],[pnt t/m 2021/22]]+Tabel2[[#This Row],[pnt 2022/2023]]</f>
        <v>874.71645021645031</v>
      </c>
      <c r="I148">
        <v>2012</v>
      </c>
      <c r="J148">
        <v>2023</v>
      </c>
      <c r="K148" s="24">
        <f>Tabel2[[#This Row],[ijkdatum]]-Tabel2[[#This Row],[Geboren]]</f>
        <v>11</v>
      </c>
      <c r="L148" s="26">
        <f>Tabel2[[#This Row],[TTL 1]]+Tabel2[[#This Row],[TTL 2]]+Tabel2[[#This Row],[TTL 3]]+Tabel2[[#This Row],[TTL 4]]+Tabel2[[#This Row],[TTL 5]]+Tabel2[[#This Row],[TTL 6]]+Tabel2[[#This Row],[TTL 7]]+Tabel2[[#This Row],[TTL 8]]+Tabel2[[#This Row],[TTL 9]]+Tabel2[[#This Row],[TTL 10]]</f>
        <v>126</v>
      </c>
      <c r="M148" s="141">
        <v>748.71645021645031</v>
      </c>
      <c r="O148">
        <v>1</v>
      </c>
      <c r="S148" s="23">
        <f>SUM(Tabel2[[#This Row],[V 1]]*10+Tabel2[[#This Row],[GT 1]])/Tabel2[[#This Row],[AW 1]]*10+Tabel2[[#This Row],[BONUS 1]]</f>
        <v>0</v>
      </c>
      <c r="T148">
        <v>3</v>
      </c>
      <c r="U148">
        <v>10</v>
      </c>
      <c r="V148">
        <v>8</v>
      </c>
      <c r="W148">
        <v>46</v>
      </c>
      <c r="Y148" s="23">
        <f>SUM(Tabel2[[#This Row],[V 2]]*10+Tabel2[[#This Row],[GT 2]])/Tabel2[[#This Row],[AW 2]]*10+Tabel2[[#This Row],[BONUS 2]]</f>
        <v>126</v>
      </c>
      <c r="AA148">
        <v>1</v>
      </c>
      <c r="AE148" s="23">
        <f>SUM(Tabel2[[#This Row],[V 3]]*10+Tabel2[[#This Row],[GT 3]])/Tabel2[[#This Row],[AW 3]]*10+Tabel2[[#This Row],[BONUS 3]]</f>
        <v>0</v>
      </c>
      <c r="AG148">
        <v>1</v>
      </c>
      <c r="AK148" s="23">
        <f>SUM(Tabel2[[#This Row],[V 4]]*10+Tabel2[[#This Row],[GT 4]])/Tabel2[[#This Row],[AW 4]]*10+Tabel2[[#This Row],[BONUS 4]]</f>
        <v>0</v>
      </c>
      <c r="AM148">
        <v>1</v>
      </c>
      <c r="AQ148" s="23">
        <f>SUM(Tabel2[[#This Row],[V 5]]*10+Tabel2[[#This Row],[GT 5]])/Tabel2[[#This Row],[AW 5]]*10+Tabel2[[#This Row],[BONUS 5]]</f>
        <v>0</v>
      </c>
      <c r="AS148">
        <v>1</v>
      </c>
      <c r="AW148" s="23">
        <f>SUM(Tabel2[[#This Row],[V 6]]*10+Tabel2[[#This Row],[GT 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48" s="22">
        <v>500</v>
      </c>
      <c r="BX148" s="30">
        <f>Tabel2[[#This Row],[Diploma]]-Tabel2[[#This Row],[Uitgeschreven]]</f>
        <v>250</v>
      </c>
      <c r="BY148" s="2" t="str">
        <f>IF(BX148=0,"geen actie",CONCATENATE("diploma uitschrijven: ",BV148," punten"))</f>
        <v>diploma uitschrijven: 750 punten</v>
      </c>
      <c r="CA148" s="150">
        <f>Tabel2[[#This Row],[pnt t/m 2021/22]]</f>
        <v>748.71645021645031</v>
      </c>
      <c r="CB148" s="150">
        <f>Tabel2[[#This Row],[pnt 2022/2023]]</f>
        <v>126</v>
      </c>
      <c r="CC148" s="150">
        <f t="shared" si="18"/>
        <v>874.71645021645031</v>
      </c>
      <c r="CD148" s="150">
        <f>IF(Tabel2[[#This Row],[LPR 1]]&gt;0,1,0)</f>
        <v>0</v>
      </c>
      <c r="CE148" s="150">
        <f>IF(Tabel2[[#This Row],[LPR 2]]&gt;0,1,0)</f>
        <v>1</v>
      </c>
      <c r="CF148" s="150">
        <f>IF(Tabel2[[#This Row],[LPR 3]]&gt;0,1,0)</f>
        <v>0</v>
      </c>
      <c r="CG148" s="150">
        <f>IF(Tabel2[[#This Row],[LPR 4]]&gt;0,1,0)</f>
        <v>0</v>
      </c>
      <c r="CH148" s="150">
        <f>IF(Tabel2[[#This Row],[LPR 5]]&gt;0,1,0)</f>
        <v>0</v>
      </c>
      <c r="CI148" s="150">
        <f>IF(Tabel2[[#This Row],[LPR 6]]&gt;0,1,0)</f>
        <v>0</v>
      </c>
      <c r="CJ148" s="150">
        <f>IF(Tabel2[[#This Row],[LPR 7]]&gt;0,1,0)</f>
        <v>0</v>
      </c>
      <c r="CK148" s="150">
        <f>IF(Tabel2[[#This Row],[LPR 8]]&gt;0,1,0)</f>
        <v>0</v>
      </c>
      <c r="CL148" s="150">
        <f>IF(Tabel2[[#This Row],[LPR 9]]&gt;0,1,0)</f>
        <v>0</v>
      </c>
      <c r="CM148" s="150">
        <f>IF(Tabel2[[#This Row],[LPR 10]]&gt;0,1,0)</f>
        <v>0</v>
      </c>
      <c r="CN148" s="150">
        <f>SUM(Tabel7[[#This Row],[sep]:[jun]])</f>
        <v>1</v>
      </c>
      <c r="CO148" s="22" t="str">
        <f t="shared" si="13"/>
        <v/>
      </c>
      <c r="CP148" s="22" t="str">
        <f t="shared" si="14"/>
        <v/>
      </c>
      <c r="CQ148" s="22" t="str">
        <f t="shared" si="15"/>
        <v/>
      </c>
      <c r="CR148" s="22" t="str">
        <f t="shared" si="16"/>
        <v/>
      </c>
      <c r="CS148" s="22" t="str">
        <f t="shared" si="17"/>
        <v/>
      </c>
    </row>
    <row r="149" spans="1:97" x14ac:dyDescent="0.3">
      <c r="A149" s="22" t="s">
        <v>169</v>
      </c>
      <c r="B149" s="22" t="s">
        <v>778</v>
      </c>
      <c r="D149" s="22" t="s">
        <v>137</v>
      </c>
      <c r="E149" t="s">
        <v>311</v>
      </c>
      <c r="F149" s="22">
        <v>119719</v>
      </c>
      <c r="G149" s="25" t="s">
        <v>185</v>
      </c>
      <c r="H149" s="142">
        <f>Tabel2[[#This Row],[pnt t/m 2021/22]]+Tabel2[[#This Row],[pnt 2022/2023]]</f>
        <v>396.89102564102564</v>
      </c>
      <c r="I149">
        <v>2014</v>
      </c>
      <c r="J149">
        <v>2023</v>
      </c>
      <c r="K149" s="24">
        <f>Tabel2[[#This Row],[ijkdatum]]-Tabel2[[#This Row],[Geboren]]</f>
        <v>9</v>
      </c>
      <c r="L149" s="26">
        <f>Tabel2[[#This Row],[TTL 1]]+Tabel2[[#This Row],[TTL 2]]+Tabel2[[#This Row],[TTL 3]]+Tabel2[[#This Row],[TTL 4]]+Tabel2[[#This Row],[TTL 5]]+Tabel2[[#This Row],[TTL 6]]+Tabel2[[#This Row],[TTL 7]]+Tabel2[[#This Row],[TTL 8]]+Tabel2[[#This Row],[TTL 9]]+Tabel2[[#This Row],[TTL 10]]</f>
        <v>0</v>
      </c>
      <c r="M149" s="141">
        <v>396.89102564102564</v>
      </c>
      <c r="O149">
        <v>1</v>
      </c>
      <c r="S149" s="23">
        <f>SUM(Tabel2[[#This Row],[V 1]]*10+Tabel2[[#This Row],[GT 1]])/Tabel2[[#This Row],[AW 1]]*10+Tabel2[[#This Row],[BONUS 1]]</f>
        <v>0</v>
      </c>
      <c r="U149">
        <v>1</v>
      </c>
      <c r="Y149" s="153">
        <f>SUM(Tabel2[[#This Row],[V 2]]*10+Tabel2[[#This Row],[GT 2]])/Tabel2[[#This Row],[AW 2]]*10+Tabel2[[#This Row],[BONUS 2]]</f>
        <v>0</v>
      </c>
      <c r="AA149">
        <v>1</v>
      </c>
      <c r="AE149" s="23">
        <f>SUM(Tabel2[[#This Row],[V 3]]*10+Tabel2[[#This Row],[GT 3]])/Tabel2[[#This Row],[AW 3]]*10+Tabel2[[#This Row],[BONUS 3]]</f>
        <v>0</v>
      </c>
      <c r="AG149">
        <v>1</v>
      </c>
      <c r="AK149" s="23">
        <f>SUM(Tabel2[[#This Row],[V 4]]*10+Tabel2[[#This Row],[GT 4]])/Tabel2[[#This Row],[AW 4]]*10+Tabel2[[#This Row],[BONUS 4]]</f>
        <v>0</v>
      </c>
      <c r="AM149">
        <v>1</v>
      </c>
      <c r="AQ149" s="23">
        <f>SUM(Tabel2[[#This Row],[V 5]]*10+Tabel2[[#This Row],[GT 5]])/Tabel2[[#This Row],[AW 5]]*10+Tabel2[[#This Row],[BONUS 5]]</f>
        <v>0</v>
      </c>
      <c r="AS149">
        <v>1</v>
      </c>
      <c r="AW149" s="23">
        <f>SUM(Tabel2[[#This Row],[V 6]]*10+Tabel2[[#This Row],[GT 6]])/Tabel2[[#This Row],[AW 6]]*10+Tabel2[[#This Row],[BONUS 6]]</f>
        <v>0</v>
      </c>
      <c r="AY149">
        <v>1</v>
      </c>
      <c r="BC149" s="23">
        <f>SUM(Tabel2[[#This Row],[V 7]]*10+Tabel2[[#This Row],[GT 7]])/Tabel2[[#This Row],[AW 7]]*10+Tabel2[[#This Row],[BONUS 7]]</f>
        <v>0</v>
      </c>
      <c r="BE149">
        <v>1</v>
      </c>
      <c r="BI149" s="23">
        <f>SUM(Tabel2[[#This Row],[V 8]]*10+Tabel2[[#This Row],[GT 8]])/Tabel2[[#This Row],[AW 8]]*10+Tabel2[[#This Row],[BONUS 8]]</f>
        <v>0</v>
      </c>
      <c r="BK149">
        <v>1</v>
      </c>
      <c r="BO149" s="23">
        <f>SUM(Tabel2[[#This Row],[V 9]]*10+Tabel2[[#This Row],[GT 9]])/Tabel2[[#This Row],[AW 9]]*10+Tabel2[[#This Row],[BONUS 9]]</f>
        <v>0</v>
      </c>
      <c r="BQ149">
        <v>1</v>
      </c>
      <c r="BU149" s="23">
        <f>SUM(Tabel2[[#This Row],[V 10]]*10+(Tabel2[[#This Row],[GT 10]])/2)/Tabel2[[#This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9" s="22">
        <v>250</v>
      </c>
      <c r="BX149" s="30">
        <f>Tabel2[[#This Row],[Diploma]]-Tabel2[[#This Row],[Uitgeschreven]]</f>
        <v>0</v>
      </c>
      <c r="BY149" s="2" t="str">
        <f>IF(BX149=0,"geen actie",CONCATENATE("diploma uitschrijven: ",BV149," punten"))</f>
        <v>geen actie</v>
      </c>
      <c r="CA149" s="150">
        <f>Tabel2[[#This Row],[pnt t/m 2021/22]]</f>
        <v>396.89102564102564</v>
      </c>
      <c r="CB149" s="150">
        <f>Tabel2[[#This Row],[pnt 2022/2023]]</f>
        <v>0</v>
      </c>
      <c r="CC149" s="150">
        <f t="shared" si="18"/>
        <v>396.89102564102564</v>
      </c>
      <c r="CD149" s="150">
        <f>IF(Tabel2[[#This Row],[LPR 1]]&gt;0,1,0)</f>
        <v>0</v>
      </c>
      <c r="CE149" s="150">
        <f>IF(Tabel2[[#This Row],[LPR 2]]&gt;0,1,0)</f>
        <v>0</v>
      </c>
      <c r="CF149" s="150">
        <f>IF(Tabel2[[#This Row],[LPR 3]]&gt;0,1,0)</f>
        <v>0</v>
      </c>
      <c r="CG149" s="150">
        <f>IF(Tabel2[[#This Row],[LPR 4]]&gt;0,1,0)</f>
        <v>0</v>
      </c>
      <c r="CH149" s="150">
        <f>IF(Tabel2[[#This Row],[LPR 5]]&gt;0,1,0)</f>
        <v>0</v>
      </c>
      <c r="CI149" s="150">
        <f>IF(Tabel2[[#This Row],[LPR 6]]&gt;0,1,0)</f>
        <v>0</v>
      </c>
      <c r="CJ149" s="150">
        <f>IF(Tabel2[[#This Row],[LPR 7]]&gt;0,1,0)</f>
        <v>0</v>
      </c>
      <c r="CK149" s="150">
        <f>IF(Tabel2[[#This Row],[LPR 8]]&gt;0,1,0)</f>
        <v>0</v>
      </c>
      <c r="CL149" s="150">
        <f>IF(Tabel2[[#This Row],[LPR 9]]&gt;0,1,0)</f>
        <v>0</v>
      </c>
      <c r="CM149" s="150">
        <f>IF(Tabel2[[#This Row],[LPR 10]]&gt;0,1,0)</f>
        <v>0</v>
      </c>
      <c r="CN149" s="150">
        <f>SUM(Tabel7[[#This Row],[sep]:[jun]])</f>
        <v>0</v>
      </c>
      <c r="CO149" s="22" t="str">
        <f t="shared" si="13"/>
        <v/>
      </c>
      <c r="CP149" s="22" t="str">
        <f t="shared" si="14"/>
        <v/>
      </c>
      <c r="CQ149" s="22" t="str">
        <f t="shared" si="15"/>
        <v/>
      </c>
      <c r="CR149" s="22" t="str">
        <f t="shared" si="16"/>
        <v/>
      </c>
      <c r="CS149" s="22" t="str">
        <f t="shared" si="17"/>
        <v/>
      </c>
    </row>
    <row r="150" spans="1:97" x14ac:dyDescent="0.3">
      <c r="A150" s="22" t="s">
        <v>145</v>
      </c>
      <c r="B150" s="22" t="s">
        <v>778</v>
      </c>
      <c r="D150" s="22" t="s">
        <v>137</v>
      </c>
      <c r="E150" t="s">
        <v>312</v>
      </c>
      <c r="F150" s="22">
        <v>117466</v>
      </c>
      <c r="G150" s="25" t="s">
        <v>147</v>
      </c>
      <c r="H150" s="142">
        <f>Tabel2[[#This Row],[pnt t/m 2021/22]]+Tabel2[[#This Row],[pnt 2022/2023]]</f>
        <v>565.875</v>
      </c>
      <c r="I150">
        <v>2006</v>
      </c>
      <c r="J150">
        <v>2023</v>
      </c>
      <c r="K150" s="24">
        <f>Tabel2[[#This Row],[ijkdatum]]-Tabel2[[#This Row],[Geboren]]</f>
        <v>17</v>
      </c>
      <c r="L150" s="26">
        <f>Tabel2[[#This Row],[TTL 1]]+Tabel2[[#This Row],[TTL 2]]+Tabel2[[#This Row],[TTL 3]]+Tabel2[[#This Row],[TTL 4]]+Tabel2[[#This Row],[TTL 5]]+Tabel2[[#This Row],[TTL 6]]+Tabel2[[#This Row],[TTL 7]]+Tabel2[[#This Row],[TTL 8]]+Tabel2[[#This Row],[TTL 9]]+Tabel2[[#This Row],[TTL 10]]</f>
        <v>0</v>
      </c>
      <c r="M150" s="141">
        <v>565.875</v>
      </c>
      <c r="O150">
        <v>1</v>
      </c>
      <c r="S150" s="23">
        <f>SUM(Tabel2[[#This Row],[V 1]]*10+Tabel2[[#This Row],[GT 1]])/Tabel2[[#This Row],[AW 1]]*10+Tabel2[[#This Row],[BONUS 1]]</f>
        <v>0</v>
      </c>
      <c r="U150">
        <v>1</v>
      </c>
      <c r="Y150" s="23">
        <f>SUM(Tabel2[[#This Row],[V 2]]*10+Tabel2[[#This Row],[GT 2]])/Tabel2[[#This Row],[AW 2]]*10+Tabel2[[#This Row],[BONUS 2]]</f>
        <v>0</v>
      </c>
      <c r="AA150">
        <v>1</v>
      </c>
      <c r="AE150" s="23">
        <f>SUM(Tabel2[[#This Row],[V 3]]*10+Tabel2[[#This Row],[GT 3]])/Tabel2[[#This Row],[AW 3]]*10+Tabel2[[#This Row],[BONUS 3]]</f>
        <v>0</v>
      </c>
      <c r="AG150">
        <v>1</v>
      </c>
      <c r="AK150" s="23">
        <f>SUM(Tabel2[[#This Row],[V 4]]*10+Tabel2[[#This Row],[GT 4]])/Tabel2[[#This Row],[AW 4]]*10+Tabel2[[#This Row],[BONUS 4]]</f>
        <v>0</v>
      </c>
      <c r="AM150">
        <v>1</v>
      </c>
      <c r="AQ150" s="23">
        <f>SUM(Tabel2[[#This Row],[V 5]]*10+Tabel2[[#This Row],[GT 5]])/Tabel2[[#This Row],[AW 5]]*10+Tabel2[[#This Row],[BONUS 5]]</f>
        <v>0</v>
      </c>
      <c r="AS150">
        <v>1</v>
      </c>
      <c r="AW150" s="23">
        <f>SUM(Tabel2[[#This Row],[V 6]]*10+Tabel2[[#This Row],[GT 6]])/Tabel2[[#This Row],[AW 6]]*10+Tabel2[[#This Row],[BONUS 6]]</f>
        <v>0</v>
      </c>
      <c r="AY150">
        <v>1</v>
      </c>
      <c r="BC150" s="23">
        <f>SUM(Tabel2[[#This Row],[V 7]]*10+Tabel2[[#This Row],[GT 7]])/Tabel2[[#This Row],[AW 7]]*10+Tabel2[[#This Row],[BONUS 7]]</f>
        <v>0</v>
      </c>
      <c r="BE150">
        <v>1</v>
      </c>
      <c r="BI150" s="23">
        <f>SUM(Tabel2[[#This Row],[V 8]]*10+Tabel2[[#This Row],[GT 8]])/Tabel2[[#This Row],[AW 8]]*10+Tabel2[[#This Row],[BONUS 8]]</f>
        <v>0</v>
      </c>
      <c r="BK150">
        <v>1</v>
      </c>
      <c r="BO150" s="23">
        <f>SUM(Tabel2[[#This Row],[V 9]]*10+Tabel2[[#This Row],[GT 9]])/Tabel2[[#This Row],[AW 9]]*10+Tabel2[[#This Row],[BONUS 9]]</f>
        <v>0</v>
      </c>
      <c r="BQ150">
        <v>1</v>
      </c>
      <c r="BU150" s="23">
        <f>SUM(Tabel2[[#This Row],[V 10]]*10+Tabel2[[#This Row],[GT 10]])/Tabel2[[#This Row],[AW 10]]*10+Tabel2[[#This Row],[BONUS 10]]</f>
        <v>0</v>
      </c>
      <c r="BV15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0" s="22">
        <v>500</v>
      </c>
      <c r="BX150" s="30">
        <f>Tabel2[[#This Row],[Diploma]]-Tabel2[[#This Row],[Uitgeschreven]]</f>
        <v>0</v>
      </c>
      <c r="BY150" s="2" t="str">
        <f>IF(BX150=0,"geen actie",CONCATENATE("diploma uitschrijven: ",BV150," punten"))</f>
        <v>geen actie</v>
      </c>
      <c r="CA150" s="150">
        <f>Tabel2[[#This Row],[pnt t/m 2021/22]]</f>
        <v>565.875</v>
      </c>
      <c r="CB150" s="150">
        <f>Tabel2[[#This Row],[pnt 2022/2023]]</f>
        <v>0</v>
      </c>
      <c r="CC150" s="150">
        <f t="shared" si="18"/>
        <v>565.875</v>
      </c>
      <c r="CD150" s="150">
        <f>IF(Tabel2[[#This Row],[LPR 1]]&gt;0,1,0)</f>
        <v>0</v>
      </c>
      <c r="CE150" s="150">
        <f>IF(Tabel2[[#This Row],[LPR 2]]&gt;0,1,0)</f>
        <v>0</v>
      </c>
      <c r="CF150" s="150">
        <f>IF(Tabel2[[#This Row],[LPR 3]]&gt;0,1,0)</f>
        <v>0</v>
      </c>
      <c r="CG150" s="150">
        <f>IF(Tabel2[[#This Row],[LPR 4]]&gt;0,1,0)</f>
        <v>0</v>
      </c>
      <c r="CH150" s="150">
        <f>IF(Tabel2[[#This Row],[LPR 5]]&gt;0,1,0)</f>
        <v>0</v>
      </c>
      <c r="CI150" s="150">
        <f>IF(Tabel2[[#This Row],[LPR 6]]&gt;0,1,0)</f>
        <v>0</v>
      </c>
      <c r="CJ150" s="150">
        <f>IF(Tabel2[[#This Row],[LPR 7]]&gt;0,1,0)</f>
        <v>0</v>
      </c>
      <c r="CK150" s="150">
        <f>IF(Tabel2[[#This Row],[LPR 8]]&gt;0,1,0)</f>
        <v>0</v>
      </c>
      <c r="CL150" s="150">
        <f>IF(Tabel2[[#This Row],[LPR 9]]&gt;0,1,0)</f>
        <v>0</v>
      </c>
      <c r="CM150" s="150">
        <f>IF(Tabel2[[#This Row],[LPR 10]]&gt;0,1,0)</f>
        <v>0</v>
      </c>
      <c r="CN150" s="150">
        <f>SUM(Tabel7[[#This Row],[sep]:[jun]])</f>
        <v>0</v>
      </c>
      <c r="CO150" s="22" t="str">
        <f t="shared" si="13"/>
        <v/>
      </c>
      <c r="CP150" s="22" t="str">
        <f t="shared" si="14"/>
        <v/>
      </c>
      <c r="CQ150" s="22" t="str">
        <f t="shared" si="15"/>
        <v/>
      </c>
      <c r="CR150" s="22" t="str">
        <f t="shared" si="16"/>
        <v/>
      </c>
      <c r="CS150" s="22" t="str">
        <f t="shared" si="17"/>
        <v/>
      </c>
    </row>
    <row r="151" spans="1:97" x14ac:dyDescent="0.3">
      <c r="A151" s="22" t="s">
        <v>135</v>
      </c>
      <c r="B151" s="22" t="s">
        <v>778</v>
      </c>
      <c r="D151" s="22" t="s">
        <v>783</v>
      </c>
      <c r="E151" t="s">
        <v>310</v>
      </c>
      <c r="F151" s="22">
        <v>119699</v>
      </c>
      <c r="G151" s="25" t="s">
        <v>177</v>
      </c>
      <c r="H151" s="23">
        <f>Tabel2[[#This Row],[pnt t/m 2021/22]]+Tabel2[[#This Row],[pnt 2022/2023]]</f>
        <v>556.1940836940837</v>
      </c>
      <c r="I151">
        <v>2011</v>
      </c>
      <c r="J151">
        <v>2023</v>
      </c>
      <c r="K151" s="24">
        <f>Tabel2[[#This Row],[ijkdatum]]-Tabel2[[#This Row],[Geboren]]</f>
        <v>12</v>
      </c>
      <c r="L151" s="26">
        <f>Tabel2[[#This Row],[TTL 1]]+Tabel2[[#This Row],[TTL 2]]+Tabel2[[#This Row],[TTL 3]]+Tabel2[[#This Row],[TTL 4]]+Tabel2[[#This Row],[TTL 5]]+Tabel2[[#This Row],[TTL 6]]+Tabel2[[#This Row],[TTL 7]]+Tabel2[[#This Row],[TTL 8]]+Tabel2[[#This Row],[TTL 9]]+Tabel2[[#This Row],[TTL 10]]</f>
        <v>70</v>
      </c>
      <c r="M151" s="153">
        <v>486.1940836940837</v>
      </c>
      <c r="N151">
        <v>2</v>
      </c>
      <c r="O151">
        <v>6</v>
      </c>
      <c r="P151">
        <v>3</v>
      </c>
      <c r="Q151">
        <v>12</v>
      </c>
      <c r="S151" s="23">
        <f>SUM(Tabel2[[#This Row],[V 1]]*10+Tabel2[[#This Row],[GT 1]])/Tabel2[[#This Row],[AW 1]]*10+Tabel2[[#This Row],[BONUS 1]]</f>
        <v>70</v>
      </c>
      <c r="U151">
        <v>1</v>
      </c>
      <c r="Y151" s="153">
        <f>SUM(Tabel2[[#This Row],[V 2]]*10+Tabel2[[#This Row],[GT 2]])/Tabel2[[#This Row],[AW 2]]*10+Tabel2[[#This Row],[BONUS 2]]</f>
        <v>0</v>
      </c>
      <c r="AA151">
        <v>1</v>
      </c>
      <c r="AE151" s="153">
        <f>SUM(Tabel2[[#This Row],[V 3]]*10+Tabel2[[#This Row],[GT 3]])/Tabel2[[#This Row],[AW 3]]*10+Tabel2[[#This Row],[BONUS 3]]</f>
        <v>0</v>
      </c>
      <c r="AG151">
        <v>1</v>
      </c>
      <c r="AK151" s="153">
        <f>SUM(Tabel2[[#This Row],[V 4]]*10+Tabel2[[#This Row],[GT 4]])/Tabel2[[#This Row],[AW 4]]*10+Tabel2[[#This Row],[BONUS 4]]</f>
        <v>0</v>
      </c>
      <c r="AM151">
        <v>1</v>
      </c>
      <c r="AQ151" s="153">
        <f>SUM(Tabel2[[#This Row],[V 5]]*10+Tabel2[[#This Row],[GT 5]])/Tabel2[[#This Row],[AW 5]]*10+Tabel2[[#This Row],[BONUS 5]]</f>
        <v>0</v>
      </c>
      <c r="AS151">
        <v>1</v>
      </c>
      <c r="AW151" s="153">
        <f>SUM(Tabel2[[#This Row],[V 6]]*10+Tabel2[[#This Row],[GT 6]])/Tabel2[[#This Row],[AW 6]]*10+Tabel2[[#This Row],[BONUS 6]]</f>
        <v>0</v>
      </c>
      <c r="AY151">
        <v>1</v>
      </c>
      <c r="BC151" s="23">
        <f>SUM(Tabel2[[#This Row],[V 7]]*10+Tabel2[[#This Row],[GT 7]])/Tabel2[[#This Row],[AW 7]]*10+Tabel2[[#This Row],[BONUS 7]]</f>
        <v>0</v>
      </c>
      <c r="BE151">
        <v>1</v>
      </c>
      <c r="BI151" s="153">
        <f>SUM(Tabel2[[#This Row],[V 8]]*10+Tabel2[[#This Row],[GT 8]])/Tabel2[[#This Row],[AW 8]]*10+Tabel2[[#This Row],[BONUS 8]]</f>
        <v>0</v>
      </c>
      <c r="BK151">
        <v>1</v>
      </c>
      <c r="BO151" s="153">
        <f>SUM(Tabel2[[#This Row],[V 9]]*10+Tabel2[[#This Row],[GT 9]])/Tabel2[[#This Row],[AW 9]]*10+Tabel2[[#This Row],[BONUS 9]]</f>
        <v>0</v>
      </c>
      <c r="BQ151">
        <v>1</v>
      </c>
      <c r="BU151" s="23">
        <f>SUM(Tabel2[[#This Row],[V 10]]*10+Tabel2[[#This Row],[GT 10]])/Tabel2[[#This Row],[AW 10]]*10+Tabel2[[#This Row],[BONUS 10]]</f>
        <v>0</v>
      </c>
      <c r="BV15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1" s="22">
        <v>500</v>
      </c>
      <c r="BX151" s="22">
        <f>Tabel2[[#This Row],[Diploma]]-Tabel2[[#This Row],[Uitgeschreven]]</f>
        <v>0</v>
      </c>
      <c r="BY151" s="155" t="str">
        <f>IF(BX151=0,"geen actie",CONCATENATE("diploma uitschrijven: ",BV151," punten"))</f>
        <v>geen actie</v>
      </c>
      <c r="CA151" s="150">
        <f>Tabel2[[#This Row],[pnt t/m 2021/22]]</f>
        <v>486.1940836940837</v>
      </c>
      <c r="CB151" s="150">
        <f>Tabel2[[#This Row],[pnt 2022/2023]]</f>
        <v>70</v>
      </c>
      <c r="CC151" s="150">
        <f t="shared" si="18"/>
        <v>556.1940836940837</v>
      </c>
      <c r="CD151" s="150">
        <f>IF(Tabel2[[#This Row],[LPR 1]]&gt;0,1,0)</f>
        <v>1</v>
      </c>
      <c r="CE151" s="150">
        <f>IF(Tabel2[[#This Row],[LPR 2]]&gt;0,1,0)</f>
        <v>0</v>
      </c>
      <c r="CF151" s="150">
        <f>IF(Tabel2[[#This Row],[LPR 3]]&gt;0,1,0)</f>
        <v>0</v>
      </c>
      <c r="CG151" s="150">
        <f>IF(Tabel2[[#This Row],[LPR 4]]&gt;0,1,0)</f>
        <v>0</v>
      </c>
      <c r="CH151" s="150">
        <f>IF(Tabel2[[#This Row],[LPR 5]]&gt;0,1,0)</f>
        <v>0</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1</v>
      </c>
      <c r="CO151" s="22" t="str">
        <f t="shared" si="13"/>
        <v/>
      </c>
      <c r="CP151" s="22" t="str">
        <f t="shared" si="14"/>
        <v/>
      </c>
      <c r="CQ151" s="22" t="str">
        <f t="shared" si="15"/>
        <v/>
      </c>
      <c r="CR151" s="22" t="str">
        <f t="shared" si="16"/>
        <v/>
      </c>
      <c r="CS151" s="22" t="str">
        <f t="shared" si="17"/>
        <v/>
      </c>
    </row>
    <row r="152" spans="1:97" x14ac:dyDescent="0.3">
      <c r="A152" s="22" t="s">
        <v>135</v>
      </c>
      <c r="B152" s="22" t="s">
        <v>778</v>
      </c>
      <c r="D152" s="22" t="s">
        <v>137</v>
      </c>
      <c r="E152" t="s">
        <v>314</v>
      </c>
      <c r="F152" s="22">
        <v>119993</v>
      </c>
      <c r="G152" s="25" t="s">
        <v>177</v>
      </c>
      <c r="H152" s="23">
        <f>Tabel2[[#This Row],[pnt t/m 2021/22]]+Tabel2[[#This Row],[pnt 2022/2023]]</f>
        <v>345.7619047619047</v>
      </c>
      <c r="I152">
        <v>2009</v>
      </c>
      <c r="J152">
        <v>2023</v>
      </c>
      <c r="K152" s="24">
        <f>Tabel2[[#This Row],[ijkdatum]]-Tabel2[[#This Row],[Geboren]]</f>
        <v>14</v>
      </c>
      <c r="L152" s="26">
        <f>Tabel2[[#This Row],[TTL 1]]+Tabel2[[#This Row],[TTL 2]]+Tabel2[[#This Row],[TTL 3]]+Tabel2[[#This Row],[TTL 4]]+Tabel2[[#This Row],[TTL 5]]+Tabel2[[#This Row],[TTL 6]]+Tabel2[[#This Row],[TTL 7]]+Tabel2[[#This Row],[TTL 8]]+Tabel2[[#This Row],[TTL 9]]+Tabel2[[#This Row],[TTL 10]]</f>
        <v>0</v>
      </c>
      <c r="M152" s="153">
        <v>345.7619047619047</v>
      </c>
      <c r="O152">
        <v>1</v>
      </c>
      <c r="S152" s="153">
        <f>SUM(Tabel2[[#This Row],[V 1]]*10+Tabel2[[#This Row],[GT 1]])/Tabel2[[#This Row],[AW 1]]*10+Tabel2[[#This Row],[BONUS 1]]</f>
        <v>0</v>
      </c>
      <c r="U152">
        <v>1</v>
      </c>
      <c r="Y152" s="23">
        <f>SUM(Tabel2[[#This Row],[V 2]]*10+Tabel2[[#This Row],[GT 2]])/Tabel2[[#This Row],[AW 2]]*10+Tabel2[[#This Row],[BONUS 2]]</f>
        <v>0</v>
      </c>
      <c r="AA152">
        <v>1</v>
      </c>
      <c r="AE152" s="23">
        <f>SUM(Tabel2[[#This Row],[V 3]]*10+Tabel2[[#This Row],[GT 3]])/Tabel2[[#This Row],[AW 3]]*10+Tabel2[[#This Row],[BONUS 3]]</f>
        <v>0</v>
      </c>
      <c r="AG152">
        <v>1</v>
      </c>
      <c r="AK152" s="23">
        <f>SUM(Tabel2[[#This Row],[V 4]]*10+Tabel2[[#This Row],[GT 4]])/Tabel2[[#This Row],[AW 4]]*10+Tabel2[[#This Row],[BONUS 4]]</f>
        <v>0</v>
      </c>
      <c r="AM152">
        <v>1</v>
      </c>
      <c r="AQ152" s="23">
        <f>SUM(Tabel2[[#This Row],[V 5]]*10+Tabel2[[#This Row],[GT 5]])/Tabel2[[#This Row],[AW 5]]*10+Tabel2[[#This Row],[BONUS 5]]</f>
        <v>0</v>
      </c>
      <c r="AS152">
        <v>1</v>
      </c>
      <c r="AW152" s="23">
        <f>SUM(Tabel2[[#This Row],[V 6]]*10+Tabel2[[#This Row],[GT 6]])/Tabel2[[#This Row],[AW 6]]*10+Tabel2[[#This Row],[BONUS 6]]</f>
        <v>0</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2" s="22">
        <v>250</v>
      </c>
      <c r="BX152" s="22">
        <f>Tabel2[[#This Row],[Diploma]]-Tabel2[[#This Row],[Uitgeschreven]]</f>
        <v>0</v>
      </c>
      <c r="BY152" s="155" t="str">
        <f>IF(BX152=0,"geen actie",CONCATENATE("diploma uitschrijven: ",BV152," punten"))</f>
        <v>geen actie</v>
      </c>
      <c r="CA152" s="150">
        <f>Tabel2[[#This Row],[pnt t/m 2021/22]]</f>
        <v>345.7619047619047</v>
      </c>
      <c r="CB152" s="150">
        <f>Tabel2[[#This Row],[pnt 2022/2023]]</f>
        <v>0</v>
      </c>
      <c r="CC152" s="150">
        <f t="shared" si="18"/>
        <v>345.7619047619047</v>
      </c>
      <c r="CD152" s="150">
        <f>IF(Tabel2[[#This Row],[LPR 1]]&gt;0,1,0)</f>
        <v>0</v>
      </c>
      <c r="CE152" s="150">
        <f>IF(Tabel2[[#This Row],[LPR 2]]&gt;0,1,0)</f>
        <v>0</v>
      </c>
      <c r="CF152" s="150">
        <f>IF(Tabel2[[#This Row],[LPR 3]]&gt;0,1,0)</f>
        <v>0</v>
      </c>
      <c r="CG152" s="150">
        <f>IF(Tabel2[[#This Row],[LPR 4]]&gt;0,1,0)</f>
        <v>0</v>
      </c>
      <c r="CH152" s="150">
        <f>IF(Tabel2[[#This Row],[LPR 5]]&gt;0,1,0)</f>
        <v>0</v>
      </c>
      <c r="CI152" s="150">
        <f>IF(Tabel2[[#This Row],[LPR 6]]&gt;0,1,0)</f>
        <v>0</v>
      </c>
      <c r="CJ152" s="150">
        <f>IF(Tabel2[[#This Row],[LPR 7]]&gt;0,1,0)</f>
        <v>0</v>
      </c>
      <c r="CK152" s="150">
        <f>IF(Tabel2[[#This Row],[LPR 8]]&gt;0,1,0)</f>
        <v>0</v>
      </c>
      <c r="CL152" s="150">
        <f>IF(Tabel2[[#This Row],[LPR 9]]&gt;0,1,0)</f>
        <v>0</v>
      </c>
      <c r="CM152" s="150">
        <f>IF(Tabel2[[#This Row],[LPR 10]]&gt;0,1,0)</f>
        <v>0</v>
      </c>
      <c r="CN152" s="150">
        <f>SUM(Tabel7[[#This Row],[sep]:[jun]])</f>
        <v>0</v>
      </c>
      <c r="CO152" s="22" t="str">
        <f t="shared" si="13"/>
        <v/>
      </c>
      <c r="CP152" s="22" t="str">
        <f t="shared" si="14"/>
        <v/>
      </c>
      <c r="CQ152" s="22" t="str">
        <f t="shared" si="15"/>
        <v/>
      </c>
      <c r="CR152" s="22" t="str">
        <f t="shared" si="16"/>
        <v/>
      </c>
      <c r="CS152" s="22" t="str">
        <f t="shared" si="17"/>
        <v/>
      </c>
    </row>
    <row r="153" spans="1:97" x14ac:dyDescent="0.3">
      <c r="A153" s="22" t="s">
        <v>169</v>
      </c>
      <c r="B153" s="22" t="s">
        <v>778</v>
      </c>
      <c r="D153" s="22" t="s">
        <v>137</v>
      </c>
      <c r="E153" t="s">
        <v>315</v>
      </c>
      <c r="F153" s="22">
        <v>120186</v>
      </c>
      <c r="G153" s="25" t="s">
        <v>149</v>
      </c>
      <c r="H153" s="23">
        <f>Tabel2[[#This Row],[pnt t/m 2021/22]]+Tabel2[[#This Row],[pnt 2022/2023]]</f>
        <v>328.20512820512823</v>
      </c>
      <c r="I153">
        <v>2013</v>
      </c>
      <c r="J153">
        <v>2023</v>
      </c>
      <c r="K153" s="24">
        <f>Tabel2[[#This Row],[ijkdatum]]-Tabel2[[#This Row],[Geboren]]</f>
        <v>10</v>
      </c>
      <c r="L153" s="26">
        <f>Tabel2[[#This Row],[TTL 1]]+Tabel2[[#This Row],[TTL 2]]+Tabel2[[#This Row],[TTL 3]]+Tabel2[[#This Row],[TTL 4]]+Tabel2[[#This Row],[TTL 5]]+Tabel2[[#This Row],[TTL 6]]+Tabel2[[#This Row],[TTL 7]]+Tabel2[[#This Row],[TTL 8]]+Tabel2[[#This Row],[TTL 9]]+Tabel2[[#This Row],[TTL 10]]</f>
        <v>0</v>
      </c>
      <c r="M153" s="153">
        <v>328.20512820512823</v>
      </c>
      <c r="O153">
        <v>1</v>
      </c>
      <c r="S153" s="15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 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3" s="22">
        <v>250</v>
      </c>
      <c r="BX153" s="22">
        <f>Tabel2[[#This Row],[Diploma]]-Tabel2[[#This Row],[Uitgeschreven]]</f>
        <v>0</v>
      </c>
      <c r="BY153" s="155" t="str">
        <f>IF(BX153=0,"geen actie",CONCATENATE("diploma uitschrijven: ",BV153," punten"))</f>
        <v>geen actie</v>
      </c>
      <c r="CA153" s="150">
        <f>Tabel2[[#This Row],[pnt t/m 2021/22]]</f>
        <v>328.20512820512823</v>
      </c>
      <c r="CB153" s="150">
        <f>Tabel2[[#This Row],[pnt 2022/2023]]</f>
        <v>0</v>
      </c>
      <c r="CC153" s="150">
        <f t="shared" si="18"/>
        <v>328.20512820512823</v>
      </c>
      <c r="CD153" s="150">
        <f>IF(Tabel2[[#This Row],[LPR 1]]&gt;0,1,0)</f>
        <v>0</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0</v>
      </c>
      <c r="CO153" s="22" t="str">
        <f t="shared" si="13"/>
        <v/>
      </c>
      <c r="CP153" s="22" t="str">
        <f t="shared" si="14"/>
        <v/>
      </c>
      <c r="CQ153" s="22" t="str">
        <f t="shared" si="15"/>
        <v/>
      </c>
      <c r="CR153" s="22" t="str">
        <f t="shared" si="16"/>
        <v/>
      </c>
      <c r="CS153" s="22" t="str">
        <f t="shared" si="17"/>
        <v/>
      </c>
    </row>
    <row r="154" spans="1:97" x14ac:dyDescent="0.3">
      <c r="A154" s="22" t="s">
        <v>145</v>
      </c>
      <c r="B154" s="22" t="s">
        <v>778</v>
      </c>
      <c r="D154" s="22" t="s">
        <v>137</v>
      </c>
      <c r="E154" t="s">
        <v>316</v>
      </c>
      <c r="F154" s="204">
        <v>115429</v>
      </c>
      <c r="G154" s="25" t="s">
        <v>317</v>
      </c>
      <c r="H154" s="23">
        <f>Tabel2[[#This Row],[pnt t/m 2021/22]]+Tabel2[[#This Row],[pnt 2022/2023]]</f>
        <v>140</v>
      </c>
      <c r="I154">
        <v>2006</v>
      </c>
      <c r="J154">
        <v>2023</v>
      </c>
      <c r="K154" s="24">
        <f>Tabel2[[#This Row],[ijkdatum]]-Tabel2[[#This Row],[Geboren]]</f>
        <v>17</v>
      </c>
      <c r="L154" s="26">
        <f>Tabel2[[#This Row],[TTL 1]]+Tabel2[[#This Row],[TTL 2]]+Tabel2[[#This Row],[TTL 3]]+Tabel2[[#This Row],[TTL 4]]+Tabel2[[#This Row],[TTL 5]]+Tabel2[[#This Row],[TTL 6]]+Tabel2[[#This Row],[TTL 7]]+Tabel2[[#This Row],[TTL 8]]+Tabel2[[#This Row],[TTL 9]]+Tabel2[[#This Row],[TTL 10]]</f>
        <v>0</v>
      </c>
      <c r="M154" s="157">
        <v>140</v>
      </c>
      <c r="O154">
        <v>1</v>
      </c>
      <c r="S154" s="153">
        <f>SUM(Tabel2[[#This Row],[V 1]]*10+Tabel2[[#This Row],[GT 1]])/Tabel2[[#This Row],[AW 1]]*10+Tabel2[[#This Row],[BONUS 1]]</f>
        <v>0</v>
      </c>
      <c r="U154">
        <v>1</v>
      </c>
      <c r="Y154" s="153">
        <f>SUM(Tabel2[[#This Row],[V 2]]*10+Tabel2[[#This Row],[GT 2]])/Tabel2[[#This Row],[AW 2]]*10+Tabel2[[#This Row],[BONUS 2]]</f>
        <v>0</v>
      </c>
      <c r="AA154">
        <v>1</v>
      </c>
      <c r="AE154" s="153">
        <f>SUM(Tabel2[[#This Row],[V 3]]*10+Tabel2[[#This Row],[GT 3]])/Tabel2[[#This Row],[AW 3]]*10+Tabel2[[#This Row],[BONUS 3]]</f>
        <v>0</v>
      </c>
      <c r="AG154">
        <v>1</v>
      </c>
      <c r="AK154" s="153">
        <f>SUM(Tabel2[[#This Row],[V 4]]*10+Tabel2[[#This Row],[GT 4]])/Tabel2[[#This Row],[AW 4]]*10+Tabel2[[#This Row],[BONUS 4]]</f>
        <v>0</v>
      </c>
      <c r="AM154">
        <v>1</v>
      </c>
      <c r="AQ154" s="153">
        <f>SUM(Tabel2[[#This Row],[V 5]]*10+Tabel2[[#This Row],[GT 5]])/Tabel2[[#This Row],[AW 5]]*10+Tabel2[[#This Row],[BONUS 5]]</f>
        <v>0</v>
      </c>
      <c r="AS154">
        <v>1</v>
      </c>
      <c r="AW154" s="153">
        <f>SUM(Tabel2[[#This Row],[V 6]]*10+Tabel2[[#This Row],[GT 6]])/Tabel2[[#This Row],[AW 6]]*10+Tabel2[[#This Row],[BONUS 6]]</f>
        <v>0</v>
      </c>
      <c r="AY154">
        <v>1</v>
      </c>
      <c r="BC154" s="153">
        <f>SUM(Tabel2[[#This Row],[V 7]]*10+Tabel2[[#This Row],[GT 7]])/Tabel2[[#This Row],[AW 7]]*10+Tabel2[[#This Row],[BONUS 7]]</f>
        <v>0</v>
      </c>
      <c r="BE154">
        <v>1</v>
      </c>
      <c r="BI154" s="153">
        <f>SUM(Tabel2[[#This Row],[V 8]]*10+Tabel2[[#This Row],[GT 8]])/Tabel2[[#This Row],[AW 8]]*10+Tabel2[[#This Row],[BONUS 8]]</f>
        <v>0</v>
      </c>
      <c r="BK154">
        <v>1</v>
      </c>
      <c r="BO154" s="15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4" s="22">
        <v>0</v>
      </c>
      <c r="BX154" s="22">
        <f>Tabel2[[#This Row],[Diploma]]-Tabel2[[#This Row],[Uitgeschreven]]</f>
        <v>0</v>
      </c>
      <c r="BY154" s="155" t="str">
        <f>IF(BX154=0,"geen actie",CONCATENATE("diploma uitschrijven: ",BV154," punten"))</f>
        <v>geen actie</v>
      </c>
      <c r="CA154" s="150">
        <f>Tabel2[[#This Row],[pnt t/m 2021/22]]</f>
        <v>140</v>
      </c>
      <c r="CB154" s="150">
        <f>Tabel2[[#This Row],[pnt 2022/2023]]</f>
        <v>0</v>
      </c>
      <c r="CC154" s="150">
        <f t="shared" si="18"/>
        <v>140</v>
      </c>
      <c r="CD154" s="150">
        <f>IF(Tabel2[[#This Row],[LPR 1]]&gt;0,1,0)</f>
        <v>0</v>
      </c>
      <c r="CE154" s="150">
        <f>IF(Tabel2[[#This Row],[LPR 2]]&gt;0,1,0)</f>
        <v>0</v>
      </c>
      <c r="CF154" s="150">
        <f>IF(Tabel2[[#This Row],[LPR 3]]&gt;0,1,0)</f>
        <v>0</v>
      </c>
      <c r="CG154" s="150">
        <f>IF(Tabel2[[#This Row],[LPR 4]]&gt;0,1,0)</f>
        <v>0</v>
      </c>
      <c r="CH154" s="150">
        <f>IF(Tabel2[[#This Row],[LPR 5]]&gt;0,1,0)</f>
        <v>0</v>
      </c>
      <c r="CI154" s="150">
        <f>IF(Tabel2[[#This Row],[LPR 6]]&gt;0,1,0)</f>
        <v>0</v>
      </c>
      <c r="CJ154" s="150">
        <f>IF(Tabel2[[#This Row],[LPR 7]]&gt;0,1,0)</f>
        <v>0</v>
      </c>
      <c r="CK154" s="150">
        <f>IF(Tabel2[[#This Row],[LPR 8]]&gt;0,1,0)</f>
        <v>0</v>
      </c>
      <c r="CL154" s="150">
        <f>IF(Tabel2[[#This Row],[LPR 9]]&gt;0,1,0)</f>
        <v>0</v>
      </c>
      <c r="CM154" s="150">
        <f>IF(Tabel2[[#This Row],[LPR 10]]&gt;0,1,0)</f>
        <v>0</v>
      </c>
      <c r="CN154" s="150">
        <f>SUM(Tabel7[[#This Row],[sep]:[jun]])</f>
        <v>0</v>
      </c>
      <c r="CO154" s="22" t="str">
        <f t="shared" si="13"/>
        <v/>
      </c>
      <c r="CP154" s="22" t="str">
        <f t="shared" si="14"/>
        <v/>
      </c>
      <c r="CQ154" s="22" t="str">
        <f t="shared" si="15"/>
        <v/>
      </c>
      <c r="CR154" s="22" t="str">
        <f t="shared" si="16"/>
        <v/>
      </c>
      <c r="CS154" s="22" t="str">
        <f t="shared" si="17"/>
        <v/>
      </c>
    </row>
    <row r="155" spans="1:97" x14ac:dyDescent="0.3">
      <c r="A155" s="22" t="s">
        <v>145</v>
      </c>
      <c r="B155" s="22" t="s">
        <v>778</v>
      </c>
      <c r="D155" s="22" t="s">
        <v>137</v>
      </c>
      <c r="E155" t="s">
        <v>318</v>
      </c>
      <c r="F155" s="22">
        <v>120186</v>
      </c>
      <c r="G155" s="25" t="s">
        <v>149</v>
      </c>
      <c r="H155" s="142">
        <f>Tabel2[[#This Row],[pnt t/m 2021/22]]+Tabel2[[#This Row],[pnt 2022/2023]]</f>
        <v>841.33116883116884</v>
      </c>
      <c r="I155">
        <v>2009</v>
      </c>
      <c r="J155">
        <v>2023</v>
      </c>
      <c r="K155" s="24">
        <f>Tabel2[[#This Row],[ijkdatum]]-Tabel2[[#This Row],[Geboren]]</f>
        <v>14</v>
      </c>
      <c r="L155" s="26">
        <f>Tabel2[[#This Row],[TTL 1]]+Tabel2[[#This Row],[TTL 2]]+Tabel2[[#This Row],[TTL 3]]+Tabel2[[#This Row],[TTL 4]]+Tabel2[[#This Row],[TTL 5]]+Tabel2[[#This Row],[TTL 6]]+Tabel2[[#This Row],[TTL 7]]+Tabel2[[#This Row],[TTL 8]]+Tabel2[[#This Row],[TTL 9]]+Tabel2[[#This Row],[TTL 10]]</f>
        <v>0</v>
      </c>
      <c r="M155" s="151">
        <v>841.33116883116884</v>
      </c>
      <c r="O155">
        <v>1</v>
      </c>
      <c r="S155" s="23">
        <f>SUM(Tabel2[[#This Row],[V 1]]*10+Tabel2[[#This Row],[GT 1]])/Tabel2[[#This Row],[AW 1]]*10+Tabel2[[#This Row],[BONUS 1]]</f>
        <v>0</v>
      </c>
      <c r="U155">
        <v>1</v>
      </c>
      <c r="Y155" s="23">
        <f>SUM(Tabel2[[#This Row],[V 2]]*10+Tabel2[[#This Row],[GT 2]])/Tabel2[[#This Row],[AW 2]]*10+Tabel2[[#This Row],[BONUS 2]]</f>
        <v>0</v>
      </c>
      <c r="AA155">
        <v>1</v>
      </c>
      <c r="AE155" s="23">
        <f>SUM(Tabel2[[#This Row],[V 3]]*10+Tabel2[[#This Row],[GT 3]])/Tabel2[[#This Row],[AW 3]]*10+Tabel2[[#This Row],[BONUS 3]]</f>
        <v>0</v>
      </c>
      <c r="AG155">
        <v>1</v>
      </c>
      <c r="AK155" s="23">
        <f>SUM(Tabel2[[#This Row],[V 4]]*10+Tabel2[[#This Row],[GT 4]])/Tabel2[[#This Row],[AW 4]]*10+Tabel2[[#This Row],[BONUS 4]]</f>
        <v>0</v>
      </c>
      <c r="AM155">
        <v>1</v>
      </c>
      <c r="AQ155" s="23">
        <f>SUM(Tabel2[[#This Row],[V 5]]*10+Tabel2[[#This Row],[GT 5]])/Tabel2[[#This Row],[AW 5]]*10+Tabel2[[#This Row],[BONUS 5]]</f>
        <v>0</v>
      </c>
      <c r="AS155">
        <v>1</v>
      </c>
      <c r="AW155" s="23">
        <f>SUM(Tabel2[[#This Row],[V 6]]*10+Tabel2[[#This Row],[GT 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5" s="22">
        <v>750</v>
      </c>
      <c r="BX155" s="30">
        <f>Tabel2[[#This Row],[Diploma]]-Tabel2[[#This Row],[Uitgeschreven]]</f>
        <v>0</v>
      </c>
      <c r="BY155" s="2" t="str">
        <f>IF(BX155=0,"geen actie",CONCATENATE("diploma uitschrijven: ",BV155," punten"))</f>
        <v>geen actie</v>
      </c>
      <c r="CA155" s="150">
        <f>Tabel2[[#This Row],[pnt t/m 2021/22]]</f>
        <v>841.33116883116884</v>
      </c>
      <c r="CB155" s="150">
        <f>Tabel2[[#This Row],[pnt 2022/2023]]</f>
        <v>0</v>
      </c>
      <c r="CC155" s="150">
        <f t="shared" si="18"/>
        <v>841.33116883116884</v>
      </c>
      <c r="CD155" s="150">
        <f>IF(Tabel2[[#This Row],[LPR 1]]&gt;0,1,0)</f>
        <v>0</v>
      </c>
      <c r="CE155" s="150">
        <f>IF(Tabel2[[#This Row],[LPR 2]]&gt;0,1,0)</f>
        <v>0</v>
      </c>
      <c r="CF155" s="150">
        <f>IF(Tabel2[[#This Row],[LPR 3]]&gt;0,1,0)</f>
        <v>0</v>
      </c>
      <c r="CG155" s="150">
        <f>IF(Tabel2[[#This Row],[LPR 4]]&gt;0,1,0)</f>
        <v>0</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0</v>
      </c>
      <c r="CO155" s="22" t="str">
        <f t="shared" si="13"/>
        <v/>
      </c>
      <c r="CP155" s="22" t="str">
        <f t="shared" si="14"/>
        <v/>
      </c>
      <c r="CQ155" s="22" t="str">
        <f t="shared" si="15"/>
        <v/>
      </c>
      <c r="CR155" s="22" t="str">
        <f t="shared" si="16"/>
        <v/>
      </c>
      <c r="CS155" s="22" t="str">
        <f t="shared" si="17"/>
        <v/>
      </c>
    </row>
    <row r="156" spans="1:97" x14ac:dyDescent="0.3">
      <c r="A156" s="22" t="s">
        <v>169</v>
      </c>
      <c r="B156" s="22" t="s">
        <v>778</v>
      </c>
      <c r="D156" s="22" t="s">
        <v>784</v>
      </c>
      <c r="E156" t="s">
        <v>319</v>
      </c>
      <c r="F156" s="22">
        <v>120872</v>
      </c>
      <c r="G156" s="25" t="s">
        <v>159</v>
      </c>
      <c r="H156" s="23">
        <f>Tabel2[[#This Row],[pnt t/m 2021/22]]+Tabel2[[#This Row],[pnt 2022/2023]]</f>
        <v>226.12745098039215</v>
      </c>
      <c r="I156">
        <v>2012</v>
      </c>
      <c r="J156">
        <v>2023</v>
      </c>
      <c r="K156" s="24">
        <f>Tabel2[[#This Row],[ijkdatum]]-Tabel2[[#This Row],[Geboren]]</f>
        <v>11</v>
      </c>
      <c r="L156" s="26">
        <f>Tabel2[[#This Row],[TTL 1]]+Tabel2[[#This Row],[TTL 2]]+Tabel2[[#This Row],[TTL 3]]+Tabel2[[#This Row],[TTL 4]]+Tabel2[[#This Row],[TTL 5]]+Tabel2[[#This Row],[TTL 6]]+Tabel2[[#This Row],[TTL 7]]+Tabel2[[#This Row],[TTL 8]]+Tabel2[[#This Row],[TTL 9]]+Tabel2[[#This Row],[TTL 10]]</f>
        <v>125.29411764705883</v>
      </c>
      <c r="M156" s="153">
        <v>100.83333333333334</v>
      </c>
      <c r="N156">
        <v>10</v>
      </c>
      <c r="O156">
        <v>17</v>
      </c>
      <c r="P156">
        <v>1</v>
      </c>
      <c r="Q156">
        <v>33</v>
      </c>
      <c r="R156">
        <v>100</v>
      </c>
      <c r="S156" s="23">
        <f>SUM(Tabel2[[#This Row],[V 1]]*10+Tabel2[[#This Row],[GT 1]])/Tabel2[[#This Row],[AW 1]]*10+Tabel2[[#This Row],[BONUS 1]]</f>
        <v>125.29411764705883</v>
      </c>
      <c r="U156">
        <v>1</v>
      </c>
      <c r="Y156" s="153">
        <f>SUM(Tabel2[[#This Row],[V 2]]*10+Tabel2[[#This Row],[GT 2]])/Tabel2[[#This Row],[AW 2]]*10+Tabel2[[#This Row],[BONUS 2]]</f>
        <v>0</v>
      </c>
      <c r="AA156">
        <v>1</v>
      </c>
      <c r="AE156" s="153">
        <f>SUM(Tabel2[[#This Row],[V 3]]*10+Tabel2[[#This Row],[GT 3]])/Tabel2[[#This Row],[AW 3]]*10+Tabel2[[#This Row],[BONUS 3]]</f>
        <v>0</v>
      </c>
      <c r="AG156">
        <v>1</v>
      </c>
      <c r="AK156" s="153">
        <f>SUM(Tabel2[[#This Row],[V 4]]*10+Tabel2[[#This Row],[GT 4]])/Tabel2[[#This Row],[AW 4]]*10+Tabel2[[#This Row],[BONUS 4]]</f>
        <v>0</v>
      </c>
      <c r="AM156">
        <v>1</v>
      </c>
      <c r="AQ156" s="153">
        <f>SUM(Tabel2[[#This Row],[V 5]]*10+Tabel2[[#This Row],[GT 5]])/Tabel2[[#This Row],[AW 5]]*10+Tabel2[[#This Row],[BONUS 5]]</f>
        <v>0</v>
      </c>
      <c r="AS156">
        <v>1</v>
      </c>
      <c r="AW156" s="153">
        <f>SUM(Tabel2[[#This Row],[V 6]]*10+Tabel2[[#This Row],[GT 6]])/Tabel2[[#This Row],[AW 6]]*10+Tabel2[[#This Row],[BONUS 6]]</f>
        <v>0</v>
      </c>
      <c r="AY156">
        <v>1</v>
      </c>
      <c r="BC156" s="153">
        <f>SUM(Tabel2[[#This Row],[V 7]]*10+Tabel2[[#This Row],[GT 7]])/Tabel2[[#This Row],[AW 7]]*10+Tabel2[[#This Row],[BONUS 7]]</f>
        <v>0</v>
      </c>
      <c r="BE156">
        <v>1</v>
      </c>
      <c r="BI156" s="153">
        <f>SUM(Tabel2[[#This Row],[V 8]]*10+Tabel2[[#This Row],[GT 8]])/Tabel2[[#This Row],[AW 8]]*10+Tabel2[[#This Row],[BONUS 8]]</f>
        <v>0</v>
      </c>
      <c r="BK156">
        <v>1</v>
      </c>
      <c r="BO156" s="153">
        <f>SUM(Tabel2[[#This Row],[V 9]]*10+Tabel2[[#This Row],[GT 9]])/Tabel2[[#This Row],[AW 9]]*10+Tabel2[[#This Row],[BONUS 9]]</f>
        <v>0</v>
      </c>
      <c r="BQ156">
        <v>1</v>
      </c>
      <c r="BU156" s="23">
        <f>SUM(Tabel2[[#This Row],[V 10]]*10+Tabel2[[#This Row],[GT 10]])/Tabel2[[#This Row],[AW 10]]*10+Tabel2[[#This Row],[BONUS 10]]</f>
        <v>0</v>
      </c>
      <c r="BV15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6" s="22">
        <v>0</v>
      </c>
      <c r="BX156" s="22">
        <f>Tabel2[[#This Row],[Diploma]]-Tabel2[[#This Row],[Uitgeschreven]]</f>
        <v>0</v>
      </c>
      <c r="BY156" s="155" t="str">
        <f>IF(BX156=0,"geen actie",CONCATENATE("diploma uitschrijven: ",BV156," punten"))</f>
        <v>geen actie</v>
      </c>
      <c r="CA156" s="150">
        <f>Tabel2[[#This Row],[pnt t/m 2021/22]]</f>
        <v>100.83333333333334</v>
      </c>
      <c r="CB156" s="150">
        <f>Tabel2[[#This Row],[pnt 2022/2023]]</f>
        <v>125.29411764705883</v>
      </c>
      <c r="CC156" s="150">
        <f t="shared" si="18"/>
        <v>226.12745098039215</v>
      </c>
      <c r="CD156" s="150">
        <f>IF(Tabel2[[#This Row],[LPR 1]]&gt;0,1,0)</f>
        <v>1</v>
      </c>
      <c r="CE156" s="150">
        <f>IF(Tabel2[[#This Row],[LPR 2]]&gt;0,1,0)</f>
        <v>0</v>
      </c>
      <c r="CF156" s="150">
        <f>IF(Tabel2[[#This Row],[LPR 3]]&gt;0,1,0)</f>
        <v>0</v>
      </c>
      <c r="CG156" s="150">
        <f>IF(Tabel2[[#This Row],[LPR 4]]&gt;0,1,0)</f>
        <v>0</v>
      </c>
      <c r="CH156" s="150">
        <f>IF(Tabel2[[#This Row],[LPR 5]]&gt;0,1,0)</f>
        <v>0</v>
      </c>
      <c r="CI156" s="150">
        <f>IF(Tabel2[[#This Row],[LPR 6]]&gt;0,1,0)</f>
        <v>0</v>
      </c>
      <c r="CJ156" s="150">
        <f>IF(Tabel2[[#This Row],[LPR 7]]&gt;0,1,0)</f>
        <v>0</v>
      </c>
      <c r="CK156" s="150">
        <f>IF(Tabel2[[#This Row],[LPR 8]]&gt;0,1,0)</f>
        <v>0</v>
      </c>
      <c r="CL156" s="150">
        <f>IF(Tabel2[[#This Row],[LPR 9]]&gt;0,1,0)</f>
        <v>0</v>
      </c>
      <c r="CM156" s="150">
        <f>IF(Tabel2[[#This Row],[LPR 10]]&gt;0,1,0)</f>
        <v>0</v>
      </c>
      <c r="CN156" s="150">
        <f>SUM(Tabel7[[#This Row],[sep]:[jun]])</f>
        <v>1</v>
      </c>
      <c r="CO156" s="22" t="str">
        <f t="shared" si="13"/>
        <v/>
      </c>
      <c r="CP156" s="22" t="str">
        <f t="shared" si="14"/>
        <v/>
      </c>
      <c r="CQ156" s="22" t="str">
        <f t="shared" si="15"/>
        <v/>
      </c>
      <c r="CR156" s="22" t="str">
        <f t="shared" si="16"/>
        <v/>
      </c>
      <c r="CS156" s="22" t="str">
        <f t="shared" si="17"/>
        <v/>
      </c>
    </row>
    <row r="157" spans="1:97" x14ac:dyDescent="0.3">
      <c r="A157" s="22" t="s">
        <v>143</v>
      </c>
      <c r="B157" s="22" t="s">
        <v>779</v>
      </c>
      <c r="D157" s="22" t="s">
        <v>137</v>
      </c>
      <c r="E157" t="s">
        <v>320</v>
      </c>
      <c r="F157" s="22">
        <v>119581</v>
      </c>
      <c r="G157" s="25" t="s">
        <v>180</v>
      </c>
      <c r="H157" s="23">
        <f>Tabel2[[#This Row],[pnt t/m 2021/22]]+Tabel2[[#This Row],[pnt 2022/2023]]</f>
        <v>36.666666666666664</v>
      </c>
      <c r="I157">
        <v>2007</v>
      </c>
      <c r="J157">
        <v>2023</v>
      </c>
      <c r="K157" s="24">
        <f>Tabel2[[#This Row],[ijkdatum]]-Tabel2[[#This Row],[Geboren]]</f>
        <v>16</v>
      </c>
      <c r="L157" s="26">
        <f>Tabel2[[#This Row],[TTL 1]]+Tabel2[[#This Row],[TTL 2]]+Tabel2[[#This Row],[TTL 3]]+Tabel2[[#This Row],[TTL 4]]+Tabel2[[#This Row],[TTL 5]]+Tabel2[[#This Row],[TTL 6]]+Tabel2[[#This Row],[TTL 7]]+Tabel2[[#This Row],[TTL 8]]+Tabel2[[#This Row],[TTL 9]]+Tabel2[[#This Row],[TTL 10]]</f>
        <v>0</v>
      </c>
      <c r="M157" s="153">
        <v>36.666666666666664</v>
      </c>
      <c r="O157">
        <v>1</v>
      </c>
      <c r="S157" s="153">
        <f>SUM(Tabel2[[#This Row],[V 1]]*10+Tabel2[[#This Row],[GT 1]])/Tabel2[[#This Row],[AW 1]]*10+Tabel2[[#This Row],[BONUS 1]]</f>
        <v>0</v>
      </c>
      <c r="U157">
        <v>1</v>
      </c>
      <c r="Y157" s="153">
        <f>SUM(Tabel2[[#This Row],[V 2]]*10+Tabel2[[#This Row],[GT 2]])/Tabel2[[#This Row],[AW 2]]*10+Tabel2[[#This Row],[BONUS 2]]</f>
        <v>0</v>
      </c>
      <c r="AA157">
        <v>1</v>
      </c>
      <c r="AE157" s="153">
        <f>SUM(Tabel2[[#This Row],[V 3]]*10+Tabel2[[#This Row],[GT 3]])/Tabel2[[#This Row],[AW 3]]*10+Tabel2[[#This Row],[BONUS 3]]</f>
        <v>0</v>
      </c>
      <c r="AG157">
        <v>1</v>
      </c>
      <c r="AK157" s="153">
        <f>SUM(Tabel2[[#This Row],[V 4]]*10+Tabel2[[#This Row],[GT 4]])/Tabel2[[#This Row],[AW 4]]*10+Tabel2[[#This Row],[BONUS 4]]</f>
        <v>0</v>
      </c>
      <c r="AM157">
        <v>1</v>
      </c>
      <c r="AQ157" s="153">
        <f>SUM(Tabel2[[#This Row],[V 5]]*10+Tabel2[[#This Row],[GT 5]])/Tabel2[[#This Row],[AW 5]]*10+Tabel2[[#This Row],[BONUS 5]]</f>
        <v>0</v>
      </c>
      <c r="AS157">
        <v>1</v>
      </c>
      <c r="AW157" s="153">
        <f>SUM(Tabel2[[#This Row],[V 6]]*10+Tabel2[[#This Row],[GT 6]])/Tabel2[[#This Row],[AW 6]]*10+Tabel2[[#This Row],[BONUS 6]]</f>
        <v>0</v>
      </c>
      <c r="AY157">
        <v>1</v>
      </c>
      <c r="BC157" s="153">
        <f>SUM(Tabel2[[#This Row],[V 7]]*10+Tabel2[[#This Row],[GT 7]])/Tabel2[[#This Row],[AW 7]]*10+Tabel2[[#This Row],[BONUS 7]]</f>
        <v>0</v>
      </c>
      <c r="BE157">
        <v>1</v>
      </c>
      <c r="BI157" s="23">
        <f>SUM(Tabel2[[#This Row],[V 8]]*10+Tabel2[[#This Row],[GT 8]])/Tabel2[[#This Row],[AW 8]]*10+Tabel2[[#This Row],[BONUS 8]]</f>
        <v>0</v>
      </c>
      <c r="BK157">
        <v>1</v>
      </c>
      <c r="BO157" s="153">
        <f>SUM(Tabel2[[#This Row],[V 9]]*10+Tabel2[[#This Row],[GT 9]])/Tabel2[[#This Row],[AW 9]]*10+Tabel2[[#This Row],[BONUS 9]]</f>
        <v>0</v>
      </c>
      <c r="BQ157">
        <v>1</v>
      </c>
      <c r="BU157" s="23">
        <f>SUM(Tabel2[[#This Row],[V 10]]*10+Tabel2[[#This Row],[GT 10]])/Tabel2[[#This Row],[AW 10]]*10+Tabel2[[#This Row],[BONUS 10]]</f>
        <v>0</v>
      </c>
      <c r="BV15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7" s="22">
        <v>0</v>
      </c>
      <c r="BX157" s="22">
        <f>Tabel2[[#This Row],[Diploma]]-Tabel2[[#This Row],[Uitgeschreven]]</f>
        <v>0</v>
      </c>
      <c r="BY157" s="155" t="str">
        <f>IF(BX157=0,"geen actie",CONCATENATE("diploma uitschrijven: ",BV157," punten"))</f>
        <v>geen actie</v>
      </c>
      <c r="CA157" s="150">
        <f>Tabel2[[#This Row],[pnt t/m 2021/22]]</f>
        <v>36.666666666666664</v>
      </c>
      <c r="CB157" s="150">
        <f>Tabel2[[#This Row],[pnt 2022/2023]]</f>
        <v>0</v>
      </c>
      <c r="CC157" s="150">
        <f t="shared" si="18"/>
        <v>36.666666666666664</v>
      </c>
      <c r="CD157" s="150">
        <f>IF(Tabel2[[#This Row],[LPR 1]]&gt;0,1,0)</f>
        <v>0</v>
      </c>
      <c r="CE157" s="150">
        <f>IF(Tabel2[[#This Row],[LPR 2]]&gt;0,1,0)</f>
        <v>0</v>
      </c>
      <c r="CF157" s="150">
        <f>IF(Tabel2[[#This Row],[LPR 3]]&gt;0,1,0)</f>
        <v>0</v>
      </c>
      <c r="CG157" s="150">
        <f>IF(Tabel2[[#This Row],[LPR 4]]&gt;0,1,0)</f>
        <v>0</v>
      </c>
      <c r="CH157" s="150">
        <f>IF(Tabel2[[#This Row],[LPR 5]]&gt;0,1,0)</f>
        <v>0</v>
      </c>
      <c r="CI157" s="150">
        <f>IF(Tabel2[[#This Row],[LPR 6]]&gt;0,1,0)</f>
        <v>0</v>
      </c>
      <c r="CJ157" s="150">
        <f>IF(Tabel2[[#This Row],[LPR 7]]&gt;0,1,0)</f>
        <v>0</v>
      </c>
      <c r="CK157" s="150">
        <f>IF(Tabel2[[#This Row],[LPR 8]]&gt;0,1,0)</f>
        <v>0</v>
      </c>
      <c r="CL157" s="150">
        <f>IF(Tabel2[[#This Row],[LPR 9]]&gt;0,1,0)</f>
        <v>0</v>
      </c>
      <c r="CM157" s="150">
        <f>IF(Tabel2[[#This Row],[LPR 10]]&gt;0,1,0)</f>
        <v>0</v>
      </c>
      <c r="CN157" s="150">
        <f>SUM(Tabel7[[#This Row],[sep]:[jun]])</f>
        <v>0</v>
      </c>
      <c r="CO157" s="22" t="str">
        <f t="shared" si="13"/>
        <v/>
      </c>
      <c r="CP157" s="22" t="str">
        <f t="shared" si="14"/>
        <v/>
      </c>
      <c r="CQ157" s="22" t="str">
        <f t="shared" si="15"/>
        <v/>
      </c>
      <c r="CR157" s="22" t="str">
        <f t="shared" si="16"/>
        <v/>
      </c>
      <c r="CS157" s="22" t="str">
        <f t="shared" si="17"/>
        <v/>
      </c>
    </row>
    <row r="158" spans="1:97" x14ac:dyDescent="0.3">
      <c r="A158" s="22" t="s">
        <v>153</v>
      </c>
      <c r="B158" s="22" t="s">
        <v>778</v>
      </c>
      <c r="D158" s="22" t="s">
        <v>137</v>
      </c>
      <c r="E158" t="s">
        <v>321</v>
      </c>
      <c r="F158" s="22">
        <v>118155</v>
      </c>
      <c r="G158" s="25" t="s">
        <v>247</v>
      </c>
      <c r="H158" s="23">
        <f>Tabel2[[#This Row],[pnt t/m 2021/22]]+Tabel2[[#This Row],[pnt 2022/2023]]</f>
        <v>117</v>
      </c>
      <c r="I158">
        <v>2011</v>
      </c>
      <c r="J158">
        <v>2023</v>
      </c>
      <c r="K158" s="24">
        <f>Tabel2[[#This Row],[ijkdatum]]-Tabel2[[#This Row],[Geboren]]</f>
        <v>12</v>
      </c>
      <c r="L158" s="26">
        <f>Tabel2[[#This Row],[TTL 1]]+Tabel2[[#This Row],[TTL 2]]+Tabel2[[#This Row],[TTL 3]]+Tabel2[[#This Row],[TTL 4]]+Tabel2[[#This Row],[TTL 5]]+Tabel2[[#This Row],[TTL 6]]+Tabel2[[#This Row],[TTL 7]]+Tabel2[[#This Row],[TTL 8]]+Tabel2[[#This Row],[TTL 9]]+Tabel2[[#This Row],[TTL 10]]</f>
        <v>0</v>
      </c>
      <c r="M158" s="157">
        <v>117</v>
      </c>
      <c r="O158">
        <v>1</v>
      </c>
      <c r="S158" s="153">
        <f>SUM(Tabel2[[#This Row],[V 1]]*10+Tabel2[[#This Row],[GT 1]])/Tabel2[[#This Row],[AW 1]]*10+Tabel2[[#This Row],[BONUS 1]]</f>
        <v>0</v>
      </c>
      <c r="U158">
        <v>1</v>
      </c>
      <c r="Y158" s="23">
        <f>SUM(Tabel2[[#This Row],[V 2]]*10+Tabel2[[#This Row],[GT 2]])/Tabel2[[#This Row],[AW 2]]*10+Tabel2[[#This Row],[BONUS 2]]</f>
        <v>0</v>
      </c>
      <c r="AA158">
        <v>1</v>
      </c>
      <c r="AE158" s="23">
        <f>SUM(Tabel2[[#This Row],[V 3]]*10+Tabel2[[#This Row],[GT 3]])/Tabel2[[#This Row],[AW 3]]*10+Tabel2[[#This Row],[BONUS 3]]</f>
        <v>0</v>
      </c>
      <c r="AG158">
        <v>1</v>
      </c>
      <c r="AK158" s="23">
        <f>SUM(Tabel2[[#This Row],[V 4]]*10+Tabel2[[#This Row],[GT 4]])/Tabel2[[#This Row],[AW 4]]*10+Tabel2[[#This Row],[BONUS 4]]</f>
        <v>0</v>
      </c>
      <c r="AM158">
        <v>1</v>
      </c>
      <c r="AQ158" s="23">
        <f>SUM(Tabel2[[#This Row],[V 5]]*10+Tabel2[[#This Row],[GT 5]])/Tabel2[[#This Row],[AW 5]]*10+Tabel2[[#This Row],[BONUS 5]]</f>
        <v>0</v>
      </c>
      <c r="AS158">
        <v>1</v>
      </c>
      <c r="AW158" s="23">
        <f>SUM(Tabel2[[#This Row],[V 6]]*10+Tabel2[[#This Row],[GT 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8" s="22">
        <v>0</v>
      </c>
      <c r="BX158" s="22">
        <f>Tabel2[[#This Row],[Diploma]]-Tabel2[[#This Row],[Uitgeschreven]]</f>
        <v>0</v>
      </c>
      <c r="BY158" s="155" t="str">
        <f>IF(BX158=0,"geen actie",CONCATENATE("diploma uitschrijven: ",BV158," punten"))</f>
        <v>geen actie</v>
      </c>
      <c r="CA158" s="150">
        <f>Tabel2[[#This Row],[pnt t/m 2021/22]]</f>
        <v>117</v>
      </c>
      <c r="CB158" s="150">
        <f>Tabel2[[#This Row],[pnt 2022/2023]]</f>
        <v>0</v>
      </c>
      <c r="CC158" s="150">
        <f t="shared" si="18"/>
        <v>117</v>
      </c>
      <c r="CD158" s="150">
        <f>IF(Tabel2[[#This Row],[LPR 1]]&gt;0,1,0)</f>
        <v>0</v>
      </c>
      <c r="CE158" s="150">
        <f>IF(Tabel2[[#This Row],[LPR 2]]&gt;0,1,0)</f>
        <v>0</v>
      </c>
      <c r="CF158" s="150">
        <f>IF(Tabel2[[#This Row],[LPR 3]]&gt;0,1,0)</f>
        <v>0</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0</v>
      </c>
      <c r="CO158" s="22" t="str">
        <f t="shared" si="13"/>
        <v/>
      </c>
      <c r="CP158" s="22" t="str">
        <f t="shared" si="14"/>
        <v/>
      </c>
      <c r="CQ158" s="22" t="str">
        <f t="shared" si="15"/>
        <v/>
      </c>
      <c r="CR158" s="22" t="str">
        <f t="shared" si="16"/>
        <v/>
      </c>
      <c r="CS158" s="22" t="str">
        <f t="shared" si="17"/>
        <v/>
      </c>
    </row>
    <row r="159" spans="1:97" x14ac:dyDescent="0.3">
      <c r="A159" s="22" t="s">
        <v>153</v>
      </c>
      <c r="B159" s="22" t="s">
        <v>778</v>
      </c>
      <c r="D159" s="22" t="s">
        <v>137</v>
      </c>
      <c r="E159" t="s">
        <v>322</v>
      </c>
      <c r="F159" s="22">
        <v>119803</v>
      </c>
      <c r="G159" s="25" t="s">
        <v>202</v>
      </c>
      <c r="H159" s="142">
        <f>Tabel2[[#This Row],[pnt t/m 2021/22]]+Tabel2[[#This Row],[pnt 2022/2023]]</f>
        <v>228.73737373737373</v>
      </c>
      <c r="I159">
        <v>2011</v>
      </c>
      <c r="J159">
        <v>2023</v>
      </c>
      <c r="K159" s="24">
        <f>Tabel2[[#This Row],[ijkdatum]]-Tabel2[[#This Row],[Geboren]]</f>
        <v>12</v>
      </c>
      <c r="L159" s="26">
        <f>Tabel2[[#This Row],[TTL 1]]+Tabel2[[#This Row],[TTL 2]]+Tabel2[[#This Row],[TTL 3]]+Tabel2[[#This Row],[TTL 4]]+Tabel2[[#This Row],[TTL 5]]+Tabel2[[#This Row],[TTL 6]]+Tabel2[[#This Row],[TTL 7]]+Tabel2[[#This Row],[TTL 8]]+Tabel2[[#This Row],[TTL 9]]+Tabel2[[#This Row],[TTL 10]]</f>
        <v>0</v>
      </c>
      <c r="M159" s="141">
        <v>228.73737373737373</v>
      </c>
      <c r="O159">
        <v>1</v>
      </c>
      <c r="S159" s="2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 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9" s="22">
        <v>0</v>
      </c>
      <c r="BX159" s="30">
        <f>Tabel2[[#This Row],[Diploma]]-Tabel2[[#This Row],[Uitgeschreven]]</f>
        <v>0</v>
      </c>
      <c r="BY159" s="2" t="str">
        <f>IF(BX159=0,"geen actie",CONCATENATE("diploma uitschrijven: ",BV159," punten"))</f>
        <v>geen actie</v>
      </c>
      <c r="CA159" s="150">
        <f>Tabel2[[#This Row],[pnt t/m 2021/22]]</f>
        <v>228.73737373737373</v>
      </c>
      <c r="CB159" s="150">
        <f>Tabel2[[#This Row],[pnt 2022/2023]]</f>
        <v>0</v>
      </c>
      <c r="CC159" s="150">
        <f t="shared" si="18"/>
        <v>228.73737373737373</v>
      </c>
      <c r="CD159" s="150">
        <f>IF(Tabel2[[#This Row],[LPR 1]]&gt;0,1,0)</f>
        <v>0</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0</v>
      </c>
      <c r="CO159" s="22" t="str">
        <f t="shared" si="13"/>
        <v/>
      </c>
      <c r="CP159" s="22" t="str">
        <f t="shared" si="14"/>
        <v/>
      </c>
      <c r="CQ159" s="22" t="str">
        <f t="shared" si="15"/>
        <v/>
      </c>
      <c r="CR159" s="22" t="str">
        <f t="shared" si="16"/>
        <v/>
      </c>
      <c r="CS159" s="22" t="str">
        <f t="shared" si="17"/>
        <v/>
      </c>
    </row>
    <row r="160" spans="1:97" x14ac:dyDescent="0.3">
      <c r="A160" s="22" t="s">
        <v>140</v>
      </c>
      <c r="B160" s="22" t="s">
        <v>779</v>
      </c>
      <c r="D160" s="22" t="s">
        <v>137</v>
      </c>
      <c r="E160" t="s">
        <v>323</v>
      </c>
      <c r="F160" s="22">
        <v>120281</v>
      </c>
      <c r="G160" s="25" t="s">
        <v>151</v>
      </c>
      <c r="H160" s="23">
        <f>Tabel2[[#This Row],[pnt t/m 2021/22]]+Tabel2[[#This Row],[pnt 2022/2023]]</f>
        <v>77.333333333333343</v>
      </c>
      <c r="I160">
        <v>2011</v>
      </c>
      <c r="J160">
        <v>2023</v>
      </c>
      <c r="K160" s="24">
        <f>Tabel2[[#This Row],[ijkdatum]]-Tabel2[[#This Row],[Geboren]]</f>
        <v>12</v>
      </c>
      <c r="L160" s="26">
        <f>Tabel2[[#This Row],[TTL 1]]+Tabel2[[#This Row],[TTL 2]]+Tabel2[[#This Row],[TTL 3]]+Tabel2[[#This Row],[TTL 4]]+Tabel2[[#This Row],[TTL 5]]+Tabel2[[#This Row],[TTL 6]]+Tabel2[[#This Row],[TTL 7]]+Tabel2[[#This Row],[TTL 8]]+Tabel2[[#This Row],[TTL 9]]+Tabel2[[#This Row],[TTL 10]]</f>
        <v>0</v>
      </c>
      <c r="M160" s="153">
        <v>77.333333333333343</v>
      </c>
      <c r="O160">
        <v>1</v>
      </c>
      <c r="S160" s="153">
        <f>SUM(Tabel2[[#This Row],[V 1]]*10+Tabel2[[#This Row],[GT 1]])/Tabel2[[#This Row],[AW 1]]*10+Tabel2[[#This Row],[BONUS 1]]</f>
        <v>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M160">
        <v>1</v>
      </c>
      <c r="AQ160" s="23">
        <f>SUM(Tabel2[[#This Row],[V 5]]*10+Tabel2[[#This Row],[GT 5]])/Tabel2[[#This Row],[AW 5]]*10+Tabel2[[#This Row],[BONUS 5]]</f>
        <v>0</v>
      </c>
      <c r="AS160">
        <v>1</v>
      </c>
      <c r="AW160" s="23">
        <f>SUM(Tabel2[[#This Row],[V 6]]*10+Tabel2[[#This Row],[GT 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22">
        <f>Tabel2[[#This Row],[Diploma]]-Tabel2[[#This Row],[Uitgeschreven]]</f>
        <v>0</v>
      </c>
      <c r="BY160" s="155" t="str">
        <f>IF(BX160=0,"geen actie",CONCATENATE("diploma uitschrijven: ",BV160," punten"))</f>
        <v>geen actie</v>
      </c>
      <c r="CA160" s="150">
        <f>Tabel2[[#This Row],[pnt t/m 2021/22]]</f>
        <v>77.333333333333343</v>
      </c>
      <c r="CB160" s="150">
        <f>Tabel2[[#This Row],[pnt 2022/2023]]</f>
        <v>0</v>
      </c>
      <c r="CC160" s="150">
        <f t="shared" si="18"/>
        <v>77.333333333333343</v>
      </c>
      <c r="CD160" s="150">
        <f>IF(Tabel2[[#This Row],[LPR 1]]&gt;0,1,0)</f>
        <v>0</v>
      </c>
      <c r="CE160" s="150">
        <f>IF(Tabel2[[#This Row],[LPR 2]]&gt;0,1,0)</f>
        <v>0</v>
      </c>
      <c r="CF160" s="150">
        <f>IF(Tabel2[[#This Row],[LPR 3]]&gt;0,1,0)</f>
        <v>0</v>
      </c>
      <c r="CG160" s="150">
        <f>IF(Tabel2[[#This Row],[LPR 4]]&gt;0,1,0)</f>
        <v>0</v>
      </c>
      <c r="CH160" s="150">
        <f>IF(Tabel2[[#This Row],[LPR 5]]&gt;0,1,0)</f>
        <v>0</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0</v>
      </c>
      <c r="CO160" s="22" t="str">
        <f t="shared" si="13"/>
        <v/>
      </c>
      <c r="CP160" s="22" t="str">
        <f t="shared" si="14"/>
        <v/>
      </c>
      <c r="CQ160" s="22" t="str">
        <f t="shared" si="15"/>
        <v/>
      </c>
      <c r="CR160" s="22" t="str">
        <f t="shared" si="16"/>
        <v/>
      </c>
      <c r="CS160" s="22" t="str">
        <f t="shared" si="17"/>
        <v/>
      </c>
    </row>
    <row r="161" spans="1:97" x14ac:dyDescent="0.3">
      <c r="A161" s="22" t="s">
        <v>135</v>
      </c>
      <c r="B161" s="22" t="s">
        <v>778</v>
      </c>
      <c r="D161" s="22" t="s">
        <v>783</v>
      </c>
      <c r="E161" t="s">
        <v>324</v>
      </c>
      <c r="F161" s="22">
        <v>119779</v>
      </c>
      <c r="G161" t="s">
        <v>177</v>
      </c>
      <c r="H161" s="23">
        <f>Tabel2[[#This Row],[pnt t/m 2021/22]]+Tabel2[[#This Row],[pnt 2022/2023]]</f>
        <v>790.91125541125541</v>
      </c>
      <c r="I161">
        <v>2011</v>
      </c>
      <c r="J161">
        <v>2023</v>
      </c>
      <c r="K161" s="24">
        <f>Tabel2[[#This Row],[ijkdatum]]-Tabel2[[#This Row],[Geboren]]</f>
        <v>12</v>
      </c>
      <c r="L161" s="26">
        <f>Tabel2[[#This Row],[TTL 1]]+Tabel2[[#This Row],[TTL 2]]+Tabel2[[#This Row],[TTL 3]]+Tabel2[[#This Row],[TTL 4]]+Tabel2[[#This Row],[TTL 5]]+Tabel2[[#This Row],[TTL 6]]+Tabel2[[#This Row],[TTL 7]]+Tabel2[[#This Row],[TTL 8]]+Tabel2[[#This Row],[TTL 9]]+Tabel2[[#This Row],[TTL 10]]</f>
        <v>85</v>
      </c>
      <c r="M161" s="153">
        <v>705.91125541125541</v>
      </c>
      <c r="N161">
        <v>2</v>
      </c>
      <c r="O161">
        <v>6</v>
      </c>
      <c r="P161">
        <v>3</v>
      </c>
      <c r="Q161">
        <v>21</v>
      </c>
      <c r="S161" s="23">
        <f>SUM(Tabel2[[#This Row],[V 1]]*10+Tabel2[[#This Row],[GT 1]])/Tabel2[[#This Row],[AW 1]]*10+Tabel2[[#This Row],[BONUS 1]]</f>
        <v>85</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S161">
        <v>1</v>
      </c>
      <c r="AW161" s="23">
        <f>SUM(Tabel2[[#This Row],[V 6]]*10+Tabel2[[#This Row],[GT 6]])/Tabel2[[#This Row],[AW 6]]*10+Tabel2[[#This Row],[BONUS 6]]</f>
        <v>0</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1" s="22">
        <v>750</v>
      </c>
      <c r="BX161" s="22">
        <f>Tabel2[[#This Row],[Diploma]]-Tabel2[[#This Row],[Uitgeschreven]]</f>
        <v>0</v>
      </c>
      <c r="BY161" s="155" t="str">
        <f>IF(BX161=0,"geen actie",CONCATENATE("diploma uitschrijven: ",BV161," punten"))</f>
        <v>geen actie</v>
      </c>
      <c r="CA161" s="150">
        <f>Tabel2[[#This Row],[pnt t/m 2021/22]]</f>
        <v>705.91125541125541</v>
      </c>
      <c r="CB161" s="150">
        <f>Tabel2[[#This Row],[pnt 2022/2023]]</f>
        <v>85</v>
      </c>
      <c r="CC161" s="150">
        <f t="shared" si="18"/>
        <v>790.91125541125541</v>
      </c>
      <c r="CD161" s="150">
        <f>IF(Tabel2[[#This Row],[LPR 1]]&gt;0,1,0)</f>
        <v>1</v>
      </c>
      <c r="CE161" s="150">
        <f>IF(Tabel2[[#This Row],[LPR 2]]&gt;0,1,0)</f>
        <v>0</v>
      </c>
      <c r="CF161" s="150">
        <f>IF(Tabel2[[#This Row],[LPR 3]]&gt;0,1,0)</f>
        <v>0</v>
      </c>
      <c r="CG161" s="150">
        <f>IF(Tabel2[[#This Row],[LPR 4]]&gt;0,1,0)</f>
        <v>0</v>
      </c>
      <c r="CH161" s="150">
        <f>IF(Tabel2[[#This Row],[LPR 5]]&gt;0,1,0)</f>
        <v>0</v>
      </c>
      <c r="CI161" s="150">
        <f>IF(Tabel2[[#This Row],[LPR 6]]&gt;0,1,0)</f>
        <v>0</v>
      </c>
      <c r="CJ161" s="150">
        <f>IF(Tabel2[[#This Row],[LPR 7]]&gt;0,1,0)</f>
        <v>0</v>
      </c>
      <c r="CK161" s="150">
        <f>IF(Tabel2[[#This Row],[LPR 8]]&gt;0,1,0)</f>
        <v>0</v>
      </c>
      <c r="CL161" s="150">
        <f>IF(Tabel2[[#This Row],[LPR 9]]&gt;0,1,0)</f>
        <v>0</v>
      </c>
      <c r="CM161" s="150">
        <f>IF(Tabel2[[#This Row],[LPR 10]]&gt;0,1,0)</f>
        <v>0</v>
      </c>
      <c r="CN161" s="150">
        <f>SUM(Tabel7[[#This Row],[sep]:[jun]])</f>
        <v>1</v>
      </c>
      <c r="CO161" s="22" t="str">
        <f t="shared" si="13"/>
        <v/>
      </c>
      <c r="CP161" s="22" t="str">
        <f t="shared" si="14"/>
        <v/>
      </c>
      <c r="CQ161" s="22" t="str">
        <f t="shared" si="15"/>
        <v/>
      </c>
      <c r="CR161" s="22" t="str">
        <f t="shared" si="16"/>
        <v/>
      </c>
      <c r="CS161" s="22" t="str">
        <f t="shared" si="17"/>
        <v/>
      </c>
    </row>
    <row r="162" spans="1:97" x14ac:dyDescent="0.3">
      <c r="A162" s="22" t="s">
        <v>135</v>
      </c>
      <c r="B162" s="22" t="s">
        <v>778</v>
      </c>
      <c r="D162" s="22" t="s">
        <v>783</v>
      </c>
      <c r="E162" t="s">
        <v>325</v>
      </c>
      <c r="F162" s="22">
        <v>117744</v>
      </c>
      <c r="G162" t="s">
        <v>369</v>
      </c>
      <c r="H162" s="23">
        <f>Tabel2[[#This Row],[pnt t/m 2021/22]]+Tabel2[[#This Row],[pnt 2022/2023]]</f>
        <v>710.85714285714289</v>
      </c>
      <c r="I162">
        <v>2009</v>
      </c>
      <c r="J162">
        <v>2023</v>
      </c>
      <c r="K162" s="24">
        <f>Tabel2[[#This Row],[ijkdatum]]-Tabel2[[#This Row],[Geboren]]</f>
        <v>14</v>
      </c>
      <c r="L162" s="26">
        <f>Tabel2[[#This Row],[TTL 1]]+Tabel2[[#This Row],[TTL 2]]+Tabel2[[#This Row],[TTL 3]]+Tabel2[[#This Row],[TTL 4]]+Tabel2[[#This Row],[TTL 5]]+Tabel2[[#This Row],[TTL 6]]+Tabel2[[#This Row],[TTL 7]]+Tabel2[[#This Row],[TTL 8]]+Tabel2[[#This Row],[TTL 9]]+Tabel2[[#This Row],[TTL 10]]</f>
        <v>13.333333333333332</v>
      </c>
      <c r="M162" s="153">
        <v>697.52380952380952</v>
      </c>
      <c r="N162">
        <v>2</v>
      </c>
      <c r="O162">
        <v>6</v>
      </c>
      <c r="P162">
        <v>0</v>
      </c>
      <c r="Q162">
        <v>8</v>
      </c>
      <c r="S162" s="23">
        <f>SUM(Tabel2[[#This Row],[V 1]]*10+Tabel2[[#This Row],[GT 1]])/Tabel2[[#This Row],[AW 1]]*10+Tabel2[[#This Row],[BONUS 1]]</f>
        <v>13.333333333333332</v>
      </c>
      <c r="U162">
        <v>1</v>
      </c>
      <c r="Y162" s="23">
        <f>SUM(Tabel2[[#This Row],[V 2]]*10+Tabel2[[#This Row],[GT 2]])/Tabel2[[#This Row],[AW 2]]*10+Tabel2[[#This Row],[BONUS 2]]</f>
        <v>0</v>
      </c>
      <c r="AA162">
        <v>1</v>
      </c>
      <c r="AE162" s="23">
        <f>SUM(Tabel2[[#This Row],[V 3]]*10+Tabel2[[#This Row],[GT 3]])/Tabel2[[#This Row],[AW 3]]*10+Tabel2[[#This Row],[BONUS 3]]</f>
        <v>0</v>
      </c>
      <c r="AG162">
        <v>1</v>
      </c>
      <c r="AK162" s="23">
        <f>SUM(Tabel2[[#This Row],[V 4]]*10+Tabel2[[#This Row],[GT 4]])/Tabel2[[#This Row],[AW 4]]*10+Tabel2[[#This Row],[BONUS 4]]</f>
        <v>0</v>
      </c>
      <c r="AM162">
        <v>1</v>
      </c>
      <c r="AQ162" s="23">
        <f>SUM(Tabel2[[#This Row],[V 5]]*10+Tabel2[[#This Row],[GT 5]])/Tabel2[[#This Row],[AW 5]]*10+Tabel2[[#This Row],[BONUS 5]]</f>
        <v>0</v>
      </c>
      <c r="AS162">
        <v>1</v>
      </c>
      <c r="AW162" s="23">
        <f>SUM(Tabel2[[#This Row],[V 6]]*10+Tabel2[[#This Row],[GT 6]])/Tabel2[[#This Row],[AW 6]]*10+Tabel2[[#This Row],[BONUS 6]]</f>
        <v>0</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62" s="22">
        <v>500</v>
      </c>
      <c r="BX162" s="22">
        <f>Tabel2[[#This Row],[Diploma]]-Tabel2[[#This Row],[Uitgeschreven]]</f>
        <v>0</v>
      </c>
      <c r="BY162" s="155" t="str">
        <f>IF(BX162=0,"geen actie",CONCATENATE("diploma uitschrijven: ",BV162," punten"))</f>
        <v>geen actie</v>
      </c>
      <c r="CA162" s="150">
        <f>Tabel2[[#This Row],[pnt t/m 2021/22]]</f>
        <v>697.52380952380952</v>
      </c>
      <c r="CB162" s="150">
        <f>Tabel2[[#This Row],[pnt 2022/2023]]</f>
        <v>13.333333333333332</v>
      </c>
      <c r="CC162" s="150">
        <f t="shared" si="18"/>
        <v>710.85714285714289</v>
      </c>
      <c r="CD162" s="150">
        <f>IF(Tabel2[[#This Row],[LPR 1]]&gt;0,1,0)</f>
        <v>1</v>
      </c>
      <c r="CE162" s="150">
        <f>IF(Tabel2[[#This Row],[LPR 2]]&gt;0,1,0)</f>
        <v>0</v>
      </c>
      <c r="CF162" s="150">
        <f>IF(Tabel2[[#This Row],[LPR 3]]&gt;0,1,0)</f>
        <v>0</v>
      </c>
      <c r="CG162" s="150">
        <f>IF(Tabel2[[#This Row],[LPR 4]]&gt;0,1,0)</f>
        <v>0</v>
      </c>
      <c r="CH162" s="150">
        <f>IF(Tabel2[[#This Row],[LPR 5]]&gt;0,1,0)</f>
        <v>0</v>
      </c>
      <c r="CI162" s="150">
        <f>IF(Tabel2[[#This Row],[LPR 6]]&gt;0,1,0)</f>
        <v>0</v>
      </c>
      <c r="CJ162" s="150">
        <f>IF(Tabel2[[#This Row],[LPR 7]]&gt;0,1,0)</f>
        <v>0</v>
      </c>
      <c r="CK162" s="150">
        <f>IF(Tabel2[[#This Row],[LPR 8]]&gt;0,1,0)</f>
        <v>0</v>
      </c>
      <c r="CL162" s="150">
        <f>IF(Tabel2[[#This Row],[LPR 9]]&gt;0,1,0)</f>
        <v>0</v>
      </c>
      <c r="CM162" s="150">
        <f>IF(Tabel2[[#This Row],[LPR 10]]&gt;0,1,0)</f>
        <v>0</v>
      </c>
      <c r="CN162" s="150">
        <f>SUM(Tabel7[[#This Row],[sep]:[jun]])</f>
        <v>1</v>
      </c>
      <c r="CO162" s="22" t="str">
        <f t="shared" si="13"/>
        <v/>
      </c>
      <c r="CP162" s="22" t="str">
        <f t="shared" si="14"/>
        <v/>
      </c>
      <c r="CQ162" s="22" t="str">
        <f t="shared" si="15"/>
        <v/>
      </c>
      <c r="CR162" s="22" t="str">
        <f t="shared" si="16"/>
        <v/>
      </c>
      <c r="CS162" s="22" t="str">
        <f t="shared" si="17"/>
        <v/>
      </c>
    </row>
    <row r="163" spans="1:97" x14ac:dyDescent="0.3">
      <c r="A163" s="22" t="s">
        <v>145</v>
      </c>
      <c r="B163" s="22" t="s">
        <v>778</v>
      </c>
      <c r="D163" s="22" t="s">
        <v>783</v>
      </c>
      <c r="E163" t="s">
        <v>326</v>
      </c>
      <c r="F163" s="22">
        <v>120871</v>
      </c>
      <c r="G163" t="s">
        <v>185</v>
      </c>
      <c r="H163" s="142">
        <f>Tabel2[[#This Row],[pnt t/m 2021/22]]+Tabel2[[#This Row],[pnt 2022/2023]]</f>
        <v>1094.4986949325184</v>
      </c>
      <c r="I163">
        <v>2009</v>
      </c>
      <c r="J163">
        <v>2023</v>
      </c>
      <c r="K163" s="24">
        <f>Tabel2[[#This Row],[ijkdatum]]-Tabel2[[#This Row],[Geboren]]</f>
        <v>14</v>
      </c>
      <c r="L163" s="26">
        <f>Tabel2[[#This Row],[TTL 1]]+Tabel2[[#This Row],[TTL 2]]+Tabel2[[#This Row],[TTL 3]]+Tabel2[[#This Row],[TTL 4]]+Tabel2[[#This Row],[TTL 5]]+Tabel2[[#This Row],[TTL 6]]+Tabel2[[#This Row],[TTL 7]]+Tabel2[[#This Row],[TTL 8]]+Tabel2[[#This Row],[TTL 9]]+Tabel2[[#This Row],[TTL 10]]</f>
        <v>135.88235294117646</v>
      </c>
      <c r="M163" s="141">
        <v>958.61634199134198</v>
      </c>
      <c r="N163">
        <v>10</v>
      </c>
      <c r="O163">
        <v>17</v>
      </c>
      <c r="P163">
        <v>15</v>
      </c>
      <c r="Q163">
        <v>81</v>
      </c>
      <c r="S163" s="23">
        <f>SUM(Tabel2[[#This Row],[V 1]]*10+Tabel2[[#This Row],[GT 1]])/Tabel2[[#This Row],[AW 1]]*10+Tabel2[[#This Row],[BONUS 1]]</f>
        <v>135.88235294117646</v>
      </c>
      <c r="U163">
        <v>1</v>
      </c>
      <c r="Y163" s="23">
        <f>SUM(Tabel2[[#This Row],[V 2]]*10+Tabel2[[#This Row],[GT 2]])/Tabel2[[#This Row],[AW 2]]*10+Tabel2[[#This Row],[BONUS 2]]</f>
        <v>0</v>
      </c>
      <c r="AA163">
        <v>1</v>
      </c>
      <c r="AE163" s="23">
        <f>SUM(Tabel2[[#This Row],[V 3]]*10+Tabel2[[#This Row],[GT 3]])/Tabel2[[#This Row],[AW 3]]*10+Tabel2[[#This Row],[BONUS 3]]</f>
        <v>0</v>
      </c>
      <c r="AG163">
        <v>1</v>
      </c>
      <c r="AK163" s="23">
        <f>SUM(Tabel2[[#This Row],[V 4]]*10+Tabel2[[#This Row],[GT 4]])/Tabel2[[#This Row],[AW 4]]*10+Tabel2[[#This Row],[BONUS 4]]</f>
        <v>0</v>
      </c>
      <c r="AM163">
        <v>1</v>
      </c>
      <c r="AQ163" s="23">
        <f>SUM(Tabel2[[#This Row],[V 5]]*10+Tabel2[[#This Row],[GT 5]])/Tabel2[[#This Row],[AW 5]]*10+Tabel2[[#This Row],[BONUS 5]]</f>
        <v>0</v>
      </c>
      <c r="AS163">
        <v>1</v>
      </c>
      <c r="AW163" s="23">
        <f>SUM(Tabel2[[#This Row],[V 6]]*10+Tabel2[[#This Row],[GT 6]])/Tabel2[[#This Row],[AW 6]]*10+Tabel2[[#This Row],[BONUS 6]]</f>
        <v>0</v>
      </c>
      <c r="AY163">
        <v>1</v>
      </c>
      <c r="BC163" s="23">
        <f>SUM(Tabel2[[#This Row],[V 7]]*10+Tabel2[[#This Row],[GT 7]])/Tabel2[[#This Row],[AW 7]]*10+Tabel2[[#This Row],[BONUS 7]]</f>
        <v>0</v>
      </c>
      <c r="BE163">
        <v>1</v>
      </c>
      <c r="BI163" s="23">
        <f>SUM(Tabel2[[#This Row],[V 8]]*10+Tabel2[[#This Row],[GT 8]])/Tabel2[[#This Row],[AW 8]]*10+Tabel2[[#This Row],[BONUS 8]]</f>
        <v>0</v>
      </c>
      <c r="BK163">
        <v>1</v>
      </c>
      <c r="BO163" s="2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63" s="22">
        <v>1000</v>
      </c>
      <c r="BX163" s="30">
        <f>Tabel2[[#This Row],[Diploma]]-Tabel2[[#This Row],[Uitgeschreven]]</f>
        <v>0</v>
      </c>
      <c r="BY163" s="2" t="str">
        <f>IF(BX163=0,"geen actie",CONCATENATE("diploma uitschrijven: ",BV163," punten"))</f>
        <v>geen actie</v>
      </c>
      <c r="CA163" s="150">
        <f>Tabel2[[#This Row],[pnt t/m 2021/22]]</f>
        <v>958.61634199134198</v>
      </c>
      <c r="CB163" s="150">
        <f>Tabel2[[#This Row],[pnt 2022/2023]]</f>
        <v>135.88235294117646</v>
      </c>
      <c r="CC163" s="150">
        <f t="shared" si="18"/>
        <v>1094.4986949325184</v>
      </c>
      <c r="CD163" s="150">
        <f>IF(Tabel2[[#This Row],[LPR 1]]&gt;0,1,0)</f>
        <v>1</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1</v>
      </c>
      <c r="CO163" s="22" t="str">
        <f t="shared" si="13"/>
        <v>x</v>
      </c>
      <c r="CP163" s="22" t="str">
        <f t="shared" si="14"/>
        <v/>
      </c>
      <c r="CQ163" s="22" t="str">
        <f t="shared" si="15"/>
        <v/>
      </c>
      <c r="CR163" s="22" t="str">
        <f t="shared" si="16"/>
        <v/>
      </c>
      <c r="CS163" s="22" t="str">
        <f t="shared" si="17"/>
        <v/>
      </c>
    </row>
    <row r="164" spans="1:97" x14ac:dyDescent="0.3">
      <c r="A164" s="22" t="s">
        <v>143</v>
      </c>
      <c r="B164" s="22" t="s">
        <v>779</v>
      </c>
      <c r="D164" s="22" t="s">
        <v>137</v>
      </c>
      <c r="E164" t="s">
        <v>265</v>
      </c>
      <c r="F164" s="22">
        <v>120286</v>
      </c>
      <c r="G164" s="237" t="s">
        <v>142</v>
      </c>
      <c r="H164" s="23">
        <f>Tabel2[[#This Row],[pnt t/m 2021/22]]+Tabel2[[#This Row],[pnt 2022/2023]]</f>
        <v>155.25</v>
      </c>
      <c r="I164">
        <v>2010</v>
      </c>
      <c r="J164">
        <v>2022</v>
      </c>
      <c r="K164" s="24">
        <f>Tabel2[[#This Row],[ijkdatum]]-Tabel2[[#This Row],[Geboren]]</f>
        <v>12</v>
      </c>
      <c r="L164" s="26">
        <f>Tabel2[[#This Row],[TTL 1]]+Tabel2[[#This Row],[TTL 2]]+Tabel2[[#This Row],[TTL 3]]+Tabel2[[#This Row],[TTL 4]]+Tabel2[[#This Row],[TTL 5]]+Tabel2[[#This Row],[TTL 6]]+Tabel2[[#This Row],[TTL 7]]+Tabel2[[#This Row],[TTL 8]]+Tabel2[[#This Row],[TTL 9]]+Tabel2[[#This Row],[TTL 10]]</f>
        <v>94</v>
      </c>
      <c r="M164" s="153">
        <v>61.25</v>
      </c>
      <c r="O164">
        <v>1</v>
      </c>
      <c r="S164" s="153">
        <f>SUM(Tabel2[[#This Row],[V 1]]*10+Tabel2[[#This Row],[GT 1]])/Tabel2[[#This Row],[AW 1]]*10+Tabel2[[#This Row],[BONUS 1]]</f>
        <v>0</v>
      </c>
      <c r="T164">
        <v>5</v>
      </c>
      <c r="U164">
        <v>10</v>
      </c>
      <c r="V164">
        <v>6</v>
      </c>
      <c r="W164">
        <v>34</v>
      </c>
      <c r="Y164" s="153">
        <f>SUM(Tabel2[[#This Row],[V 2]]*10+Tabel2[[#This Row],[GT 2]])/Tabel2[[#This Row],[AW 2]]*10+Tabel2[[#This Row],[BONUS 2]]</f>
        <v>94</v>
      </c>
      <c r="AA164">
        <v>1</v>
      </c>
      <c r="AE164" s="153">
        <f>SUM(Tabel2[[#This Row],[V 3]]*10+Tabel2[[#This Row],[GT 3]])/Tabel2[[#This Row],[AW 3]]*10+Tabel2[[#This Row],[BONUS 3]]</f>
        <v>0</v>
      </c>
      <c r="AG164">
        <v>1</v>
      </c>
      <c r="AK164" s="153">
        <f>SUM(Tabel2[[#This Row],[V 4]]*10+Tabel2[[#This Row],[GT 4]])/Tabel2[[#This Row],[AW 4]]*10+Tabel2[[#This Row],[BONUS 4]]</f>
        <v>0</v>
      </c>
      <c r="AM164">
        <v>1</v>
      </c>
      <c r="AQ164" s="153">
        <f>SUM(Tabel2[[#This Row],[V 5]]*10+Tabel2[[#This Row],[GT 5]])/Tabel2[[#This Row],[AW 5]]*10+Tabel2[[#This Row],[BONUS 5]]</f>
        <v>0</v>
      </c>
      <c r="AS164">
        <v>1</v>
      </c>
      <c r="AW164" s="153">
        <f>SUM(Tabel2[[#This Row],[V 6]]*10+Tabel2[[#This Row],[GT 6]])/Tabel2[[#This Row],[AW 6]]*10+Tabel2[[#This Row],[BONUS 6]]</f>
        <v>0</v>
      </c>
      <c r="AY164">
        <v>1</v>
      </c>
      <c r="BC164" s="153">
        <f>SUM(Tabel2[[#This Row],[V 7]]*10+Tabel2[[#This Row],[GT 7]])/Tabel2[[#This Row],[AW 7]]*10+Tabel2[[#This Row],[BONUS 7]]</f>
        <v>0</v>
      </c>
      <c r="BE164">
        <v>1</v>
      </c>
      <c r="BI164" s="153">
        <f>SUM(Tabel2[[#This Row],[V 8]]*10+Tabel2[[#This Row],[GT 8]])/Tabel2[[#This Row],[AW 8]]*10+Tabel2[[#This Row],[BONUS 8]]</f>
        <v>0</v>
      </c>
      <c r="BK164">
        <v>1</v>
      </c>
      <c r="BO164" s="153">
        <f>SUM(Tabel2[[#This Row],[V 9]]*10+Tabel2[[#This Row],[GT 9]])/Tabel2[[#This Row],[AW 9]]*10+Tabel2[[#This Row],[BONUS 9]]</f>
        <v>0</v>
      </c>
      <c r="BQ164">
        <v>1</v>
      </c>
      <c r="BU164" s="23">
        <f>SUM(Tabel2[[#This Row],[V 10]]*10+Tabel2[[#This Row],[GT 10]])/Tabel2[[#This Row],[AW 10]]*10+Tabel2[[#This Row],[BONUS 10]]</f>
        <v>0</v>
      </c>
      <c r="BV16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22">
        <f>Tabel2[[#This Row],[Diploma]]-Tabel2[[#This Row],[Uitgeschreven]]</f>
        <v>0</v>
      </c>
      <c r="BY164" s="155" t="str">
        <f>IF(BX164=0,"geen actie",CONCATENATE("diploma uitschrijven: ",BV164," punten"))</f>
        <v>geen actie</v>
      </c>
      <c r="CA164" s="150">
        <f>Tabel2[[#This Row],[pnt t/m 2021/22]]</f>
        <v>61.25</v>
      </c>
      <c r="CB164" s="150">
        <f>Tabel2[[#This Row],[pnt 2022/2023]]</f>
        <v>94</v>
      </c>
      <c r="CC164" s="150">
        <f t="shared" si="18"/>
        <v>155.25</v>
      </c>
      <c r="CD164" s="150">
        <f>IF(Tabel2[[#This Row],[LPR 1]]&gt;0,1,0)</f>
        <v>0</v>
      </c>
      <c r="CE164" s="150">
        <f>IF(Tabel2[[#This Row],[LPR 2]]&gt;0,1,0)</f>
        <v>1</v>
      </c>
      <c r="CF164" s="150">
        <f>IF(Tabel2[[#This Row],[LPR 3]]&gt;0,1,0)</f>
        <v>0</v>
      </c>
      <c r="CG164" s="150">
        <f>IF(Tabel2[[#This Row],[LPR 4]]&gt;0,1,0)</f>
        <v>0</v>
      </c>
      <c r="CH164" s="150">
        <f>IF(Tabel2[[#This Row],[LPR 5]]&gt;0,1,0)</f>
        <v>0</v>
      </c>
      <c r="CI164" s="150">
        <f>IF(Tabel2[[#This Row],[LPR 6]]&gt;0,1,0)</f>
        <v>0</v>
      </c>
      <c r="CJ164" s="150">
        <f>IF(Tabel2[[#This Row],[LPR 7]]&gt;0,1,0)</f>
        <v>0</v>
      </c>
      <c r="CK164" s="150">
        <f>IF(Tabel2[[#This Row],[LPR 8]]&gt;0,1,0)</f>
        <v>0</v>
      </c>
      <c r="CL164" s="150">
        <f>IF(Tabel2[[#This Row],[LPR 9]]&gt;0,1,0)</f>
        <v>0</v>
      </c>
      <c r="CM164" s="150">
        <f>IF(Tabel2[[#This Row],[LPR 10]]&gt;0,1,0)</f>
        <v>0</v>
      </c>
      <c r="CN164" s="150">
        <f>SUM(Tabel7[[#This Row],[sep]:[jun]])</f>
        <v>1</v>
      </c>
      <c r="CO164" s="22" t="str">
        <f t="shared" si="13"/>
        <v/>
      </c>
      <c r="CP164" s="22" t="str">
        <f t="shared" si="14"/>
        <v/>
      </c>
      <c r="CQ164" s="22" t="str">
        <f t="shared" si="15"/>
        <v/>
      </c>
      <c r="CR164" s="22" t="str">
        <f t="shared" si="16"/>
        <v/>
      </c>
      <c r="CS164" s="22" t="str">
        <f t="shared" si="17"/>
        <v/>
      </c>
    </row>
    <row r="165" spans="1:97" x14ac:dyDescent="0.3">
      <c r="A165" s="22" t="s">
        <v>143</v>
      </c>
      <c r="B165" s="22" t="s">
        <v>779</v>
      </c>
      <c r="D165" s="22" t="s">
        <v>137</v>
      </c>
      <c r="E165" t="s">
        <v>328</v>
      </c>
      <c r="F165" s="22">
        <v>119414</v>
      </c>
      <c r="G165" t="s">
        <v>147</v>
      </c>
      <c r="H165" s="142">
        <f>Tabel2[[#This Row],[pnt t/m 2021/22]]+Tabel2[[#This Row],[pnt 2022/2023]]</f>
        <v>159.375</v>
      </c>
      <c r="I165">
        <v>2010</v>
      </c>
      <c r="J165">
        <v>2023</v>
      </c>
      <c r="K165" s="24">
        <f>Tabel2[[#This Row],[ijkdatum]]-Tabel2[[#This Row],[Geboren]]</f>
        <v>13</v>
      </c>
      <c r="L165" s="26">
        <f>Tabel2[[#This Row],[TTL 1]]+Tabel2[[#This Row],[TTL 2]]+Tabel2[[#This Row],[TTL 3]]+Tabel2[[#This Row],[TTL 4]]+Tabel2[[#This Row],[TTL 5]]+Tabel2[[#This Row],[TTL 6]]+Tabel2[[#This Row],[TTL 7]]+Tabel2[[#This Row],[TTL 8]]+Tabel2[[#This Row],[TTL 9]]+Tabel2[[#This Row],[TTL 10]]</f>
        <v>0</v>
      </c>
      <c r="M165" s="141">
        <v>159.375</v>
      </c>
      <c r="O165">
        <v>1</v>
      </c>
      <c r="S165" s="23">
        <f>SUM(Tabel2[[#This Row],[V 1]]*10+Tabel2[[#This Row],[GT 1]])/Tabel2[[#This Row],[AW 1]]*10+Tabel2[[#This Row],[BONUS 1]]</f>
        <v>0</v>
      </c>
      <c r="U165">
        <v>1</v>
      </c>
      <c r="Y165" s="23">
        <f>SUM(Tabel2[[#This Row],[V 2]]*10+Tabel2[[#This Row],[GT 2]])/Tabel2[[#This Row],[AW 2]]*10+Tabel2[[#This Row],[BONUS 2]]</f>
        <v>0</v>
      </c>
      <c r="AA165">
        <v>1</v>
      </c>
      <c r="AE165" s="23">
        <f>SUM(Tabel2[[#This Row],[V 3]]*10+Tabel2[[#This Row],[GT 3]])/Tabel2[[#This Row],[AW 3]]*10+Tabel2[[#This Row],[BONUS 3]]</f>
        <v>0</v>
      </c>
      <c r="AG165">
        <v>1</v>
      </c>
      <c r="AK165" s="23">
        <f>SUM(Tabel2[[#This Row],[V 4]]*10+Tabel2[[#This Row],[GT 4]])/Tabel2[[#This Row],[AW 4]]*10+Tabel2[[#This Row],[BONUS 4]]</f>
        <v>0</v>
      </c>
      <c r="AM165">
        <v>1</v>
      </c>
      <c r="AQ165" s="23">
        <f>SUM(Tabel2[[#This Row],[V 5]]*10+Tabel2[[#This Row],[GT 5]])/Tabel2[[#This Row],[AW 5]]*10+Tabel2[[#This Row],[BONUS 5]]</f>
        <v>0</v>
      </c>
      <c r="AS165">
        <v>1</v>
      </c>
      <c r="AW165" s="23">
        <f>SUM(Tabel2[[#This Row],[V 6]]*10+Tabel2[[#This Row],[GT 6]])/Tabel2[[#This Row],[AW 6]]*10+Tabel2[[#This Row],[BONUS 6]]</f>
        <v>0</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5" s="22">
        <v>0</v>
      </c>
      <c r="BX165" s="30">
        <f>Tabel2[[#This Row],[Diploma]]-Tabel2[[#This Row],[Uitgeschreven]]</f>
        <v>0</v>
      </c>
      <c r="BY165" s="2" t="str">
        <f>IF(BX165=0,"geen actie",CONCATENATE("diploma uitschrijven: ",BV165," punten"))</f>
        <v>geen actie</v>
      </c>
      <c r="CA165" s="150">
        <f>Tabel2[[#This Row],[pnt t/m 2021/22]]</f>
        <v>159.375</v>
      </c>
      <c r="CB165" s="150">
        <f>Tabel2[[#This Row],[pnt 2022/2023]]</f>
        <v>0</v>
      </c>
      <c r="CC165" s="150">
        <f t="shared" si="18"/>
        <v>159.375</v>
      </c>
      <c r="CD165" s="150">
        <f>IF(Tabel2[[#This Row],[LPR 1]]&gt;0,1,0)</f>
        <v>0</v>
      </c>
      <c r="CE165" s="150">
        <f>IF(Tabel2[[#This Row],[LPR 2]]&gt;0,1,0)</f>
        <v>0</v>
      </c>
      <c r="CF165" s="150">
        <f>IF(Tabel2[[#This Row],[LPR 3]]&gt;0,1,0)</f>
        <v>0</v>
      </c>
      <c r="CG165" s="150">
        <f>IF(Tabel2[[#This Row],[LPR 4]]&gt;0,1,0)</f>
        <v>0</v>
      </c>
      <c r="CH165" s="150">
        <f>IF(Tabel2[[#This Row],[LPR 5]]&gt;0,1,0)</f>
        <v>0</v>
      </c>
      <c r="CI165" s="150">
        <f>IF(Tabel2[[#This Row],[LPR 6]]&gt;0,1,0)</f>
        <v>0</v>
      </c>
      <c r="CJ165" s="150">
        <f>IF(Tabel2[[#This Row],[LPR 7]]&gt;0,1,0)</f>
        <v>0</v>
      </c>
      <c r="CK165" s="150">
        <f>IF(Tabel2[[#This Row],[LPR 8]]&gt;0,1,0)</f>
        <v>0</v>
      </c>
      <c r="CL165" s="150">
        <f>IF(Tabel2[[#This Row],[LPR 9]]&gt;0,1,0)</f>
        <v>0</v>
      </c>
      <c r="CM165" s="150">
        <f>IF(Tabel2[[#This Row],[LPR 10]]&gt;0,1,0)</f>
        <v>0</v>
      </c>
      <c r="CN165" s="150">
        <f>SUM(Tabel7[[#This Row],[sep]:[jun]])</f>
        <v>0</v>
      </c>
      <c r="CO165" s="22" t="str">
        <f t="shared" si="13"/>
        <v/>
      </c>
      <c r="CP165" s="22" t="str">
        <f t="shared" si="14"/>
        <v/>
      </c>
      <c r="CQ165" s="22" t="str">
        <f t="shared" si="15"/>
        <v/>
      </c>
      <c r="CR165" s="22" t="str">
        <f t="shared" si="16"/>
        <v/>
      </c>
      <c r="CS165" s="22" t="str">
        <f t="shared" si="17"/>
        <v/>
      </c>
    </row>
    <row r="166" spans="1:97" x14ac:dyDescent="0.3">
      <c r="A166" s="22" t="s">
        <v>143</v>
      </c>
      <c r="B166" s="22" t="s">
        <v>778</v>
      </c>
      <c r="D166" s="22" t="s">
        <v>137</v>
      </c>
      <c r="E166" t="s">
        <v>329</v>
      </c>
      <c r="F166" s="22">
        <v>117850</v>
      </c>
      <c r="G166" t="s">
        <v>330</v>
      </c>
      <c r="H166" s="142">
        <f>Tabel2[[#This Row],[pnt t/m 2021/22]]+Tabel2[[#This Row],[pnt 2022/2023]]</f>
        <v>324.40476190476193</v>
      </c>
      <c r="I166">
        <v>2008</v>
      </c>
      <c r="J166">
        <v>2023</v>
      </c>
      <c r="K166" s="24">
        <f>Tabel2[[#This Row],[ijkdatum]]-Tabel2[[#This Row],[Geboren]]</f>
        <v>15</v>
      </c>
      <c r="L166" s="26">
        <f>Tabel2[[#This Row],[TTL 1]]+Tabel2[[#This Row],[TTL 2]]+Tabel2[[#This Row],[TTL 3]]+Tabel2[[#This Row],[TTL 4]]+Tabel2[[#This Row],[TTL 5]]+Tabel2[[#This Row],[TTL 6]]+Tabel2[[#This Row],[TTL 7]]+Tabel2[[#This Row],[TTL 8]]+Tabel2[[#This Row],[TTL 9]]+Tabel2[[#This Row],[TTL 10]]</f>
        <v>0</v>
      </c>
      <c r="M166" s="141">
        <v>324.40476190476193</v>
      </c>
      <c r="O166">
        <v>1</v>
      </c>
      <c r="S166" s="23">
        <f>SUM(Tabel2[[#This Row],[V 1]]*10+Tabel2[[#This Row],[GT 1]])/Tabel2[[#This Row],[AW 1]]*10+Tabel2[[#This Row],[BONUS 1]]</f>
        <v>0</v>
      </c>
      <c r="U166">
        <v>1</v>
      </c>
      <c r="Y166" s="23">
        <f>SUM(Tabel2[[#This Row],[V 2]]*10+Tabel2[[#This Row],[GT 2]])/Tabel2[[#This Row],[AW 2]]*10+Tabel2[[#This Row],[BONUS 2]]</f>
        <v>0</v>
      </c>
      <c r="AA166">
        <v>1</v>
      </c>
      <c r="AE166" s="23">
        <f>SUM(Tabel2[[#This Row],[V 3]]*10+Tabel2[[#This Row],[GT 3]])/Tabel2[[#This Row],[AW 3]]*10+Tabel2[[#This Row],[BONUS 3]]</f>
        <v>0</v>
      </c>
      <c r="AG166">
        <v>1</v>
      </c>
      <c r="AK166" s="23">
        <f>SUM(Tabel2[[#This Row],[V 4]]*10+Tabel2[[#This Row],[GT 4]])/Tabel2[[#This Row],[AW 4]]*10+Tabel2[[#This Row],[BONUS 4]]</f>
        <v>0</v>
      </c>
      <c r="AM166">
        <v>1</v>
      </c>
      <c r="AQ166" s="23">
        <f>SUM(Tabel2[[#This Row],[V 5]]*10+Tabel2[[#This Row],[GT 5]])/Tabel2[[#This Row],[AW 5]]*10+Tabel2[[#This Row],[BONUS 5]]</f>
        <v>0</v>
      </c>
      <c r="AS166">
        <v>1</v>
      </c>
      <c r="AW166" s="23">
        <f>SUM(Tabel2[[#This Row],[V 6]]*10+Tabel2[[#This Row],[GT 6]])/Tabel2[[#This Row],[AW 6]]*10+Tabel2[[#This Row],[BONUS 6]]</f>
        <v>0</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6" s="22">
        <v>250</v>
      </c>
      <c r="BX166" s="30">
        <f>Tabel2[[#This Row],[Diploma]]-Tabel2[[#This Row],[Uitgeschreven]]</f>
        <v>0</v>
      </c>
      <c r="BY166" s="2" t="str">
        <f>IF(BX166=0,"geen actie",CONCATENATE("diploma uitschrijven: ",BV166," punten"))</f>
        <v>geen actie</v>
      </c>
      <c r="CA166" s="150">
        <f>Tabel2[[#This Row],[pnt t/m 2021/22]]</f>
        <v>324.40476190476193</v>
      </c>
      <c r="CB166" s="150">
        <f>Tabel2[[#This Row],[pnt 2022/2023]]</f>
        <v>0</v>
      </c>
      <c r="CC166" s="150">
        <f t="shared" si="18"/>
        <v>324.40476190476193</v>
      </c>
      <c r="CD166" s="150">
        <f>IF(Tabel2[[#This Row],[LPR 1]]&gt;0,1,0)</f>
        <v>0</v>
      </c>
      <c r="CE166" s="150">
        <f>IF(Tabel2[[#This Row],[LPR 2]]&gt;0,1,0)</f>
        <v>0</v>
      </c>
      <c r="CF166" s="150">
        <f>IF(Tabel2[[#This Row],[LPR 3]]&gt;0,1,0)</f>
        <v>0</v>
      </c>
      <c r="CG166" s="150">
        <f>IF(Tabel2[[#This Row],[LPR 4]]&gt;0,1,0)</f>
        <v>0</v>
      </c>
      <c r="CH166" s="150">
        <f>IF(Tabel2[[#This Row],[LPR 5]]&gt;0,1,0)</f>
        <v>0</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0</v>
      </c>
      <c r="CO166" s="22" t="str">
        <f t="shared" si="13"/>
        <v/>
      </c>
      <c r="CP166" s="22" t="str">
        <f t="shared" si="14"/>
        <v/>
      </c>
      <c r="CQ166" s="22" t="str">
        <f t="shared" si="15"/>
        <v/>
      </c>
      <c r="CR166" s="22" t="str">
        <f t="shared" si="16"/>
        <v/>
      </c>
      <c r="CS166" s="22" t="str">
        <f t="shared" si="17"/>
        <v/>
      </c>
    </row>
    <row r="167" spans="1:97" x14ac:dyDescent="0.3">
      <c r="A167" s="22" t="s">
        <v>143</v>
      </c>
      <c r="B167" s="22" t="s">
        <v>778</v>
      </c>
      <c r="D167" s="22" t="s">
        <v>137</v>
      </c>
      <c r="E167" t="s">
        <v>331</v>
      </c>
      <c r="F167" s="22">
        <v>116616</v>
      </c>
      <c r="G167" t="s">
        <v>185</v>
      </c>
      <c r="H167" s="142">
        <f>Tabel2[[#This Row],[pnt t/m 2021/22]]+Tabel2[[#This Row],[pnt 2022/2023]]</f>
        <v>2655.5039682539682</v>
      </c>
      <c r="I167">
        <v>2007</v>
      </c>
      <c r="J167">
        <v>2023</v>
      </c>
      <c r="K167" s="24">
        <f>Tabel2[[#This Row],[ijkdatum]]-Tabel2[[#This Row],[Geboren]]</f>
        <v>16</v>
      </c>
      <c r="L167" s="26">
        <f>Tabel2[[#This Row],[TTL 1]]+Tabel2[[#This Row],[TTL 2]]+Tabel2[[#This Row],[TTL 3]]+Tabel2[[#This Row],[TTL 4]]+Tabel2[[#This Row],[TTL 5]]+Tabel2[[#This Row],[TTL 6]]+Tabel2[[#This Row],[TTL 7]]+Tabel2[[#This Row],[TTL 8]]+Tabel2[[#This Row],[TTL 9]]+Tabel2[[#This Row],[TTL 10]]</f>
        <v>0</v>
      </c>
      <c r="M167" s="151">
        <v>2655.5039682539682</v>
      </c>
      <c r="O167">
        <v>1</v>
      </c>
      <c r="S167" s="23">
        <f>SUM(Tabel2[[#This Row],[V 1]]*10+Tabel2[[#This Row],[GT 1]])/Tabel2[[#This Row],[AW 1]]*10+Tabel2[[#This Row],[BONUS 1]]</f>
        <v>0</v>
      </c>
      <c r="U167">
        <v>1</v>
      </c>
      <c r="Y167" s="23">
        <f>SUM(Tabel2[[#This Row],[V 2]]*10+Tabel2[[#This Row],[GT 2]])/Tabel2[[#This Row],[AW 2]]*10+Tabel2[[#This Row],[BONUS 2]]</f>
        <v>0</v>
      </c>
      <c r="AA167">
        <v>1</v>
      </c>
      <c r="AE167" s="23">
        <f>SUM(Tabel2[[#This Row],[V 3]]*10+Tabel2[[#This Row],[GT 3]])/Tabel2[[#This Row],[AW 3]]*10+Tabel2[[#This Row],[BONUS 3]]</f>
        <v>0</v>
      </c>
      <c r="AG167">
        <v>1</v>
      </c>
      <c r="AK167" s="23">
        <f>SUM(Tabel2[[#This Row],[V 4]]*10+Tabel2[[#This Row],[GT 4]])/Tabel2[[#This Row],[AW 4]]*10+Tabel2[[#This Row],[BONUS 4]]</f>
        <v>0</v>
      </c>
      <c r="AM167">
        <v>1</v>
      </c>
      <c r="AQ167" s="23">
        <f>SUM(Tabel2[[#This Row],[V 5]]*10+Tabel2[[#This Row],[GT 5]])/Tabel2[[#This Row],[AW 5]]*10+Tabel2[[#This Row],[BONUS 5]]</f>
        <v>0</v>
      </c>
      <c r="AS167">
        <v>1</v>
      </c>
      <c r="AW167" s="23">
        <f>SUM(Tabel2[[#This Row],[V 6]]*10+Tabel2[[#This Row],[GT 6]])/Tabel2[[#This Row],[AW 6]]*10+Tabel2[[#This Row],[BONUS 6]]</f>
        <v>0</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67" s="22">
        <v>2500</v>
      </c>
      <c r="BX167" s="30">
        <f>Tabel2[[#This Row],[Diploma]]-Tabel2[[#This Row],[Uitgeschreven]]</f>
        <v>0</v>
      </c>
      <c r="BY167" s="2" t="str">
        <f>IF(BX167=0,"geen actie",CONCATENATE("diploma uitschrijven: ",BV167," punten"))</f>
        <v>geen actie</v>
      </c>
      <c r="CA167" s="150">
        <f>Tabel2[[#This Row],[pnt t/m 2021/22]]</f>
        <v>2655.5039682539682</v>
      </c>
      <c r="CB167" s="150">
        <f>Tabel2[[#This Row],[pnt 2022/2023]]</f>
        <v>0</v>
      </c>
      <c r="CC167" s="150">
        <f t="shared" si="18"/>
        <v>2655.5039682539682</v>
      </c>
      <c r="CD167" s="150">
        <f>IF(Tabel2[[#This Row],[LPR 1]]&gt;0,1,0)</f>
        <v>0</v>
      </c>
      <c r="CE167" s="150">
        <f>IF(Tabel2[[#This Row],[LPR 2]]&gt;0,1,0)</f>
        <v>0</v>
      </c>
      <c r="CF167" s="150">
        <f>IF(Tabel2[[#This Row],[LPR 3]]&gt;0,1,0)</f>
        <v>0</v>
      </c>
      <c r="CG167" s="150">
        <f>IF(Tabel2[[#This Row],[LPR 4]]&gt;0,1,0)</f>
        <v>0</v>
      </c>
      <c r="CH167" s="150">
        <f>IF(Tabel2[[#This Row],[LPR 5]]&gt;0,1,0)</f>
        <v>0</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0</v>
      </c>
      <c r="CO167" s="22" t="str">
        <f t="shared" si="13"/>
        <v/>
      </c>
      <c r="CP167" s="22" t="str">
        <f t="shared" si="14"/>
        <v/>
      </c>
      <c r="CQ167" s="22" t="str">
        <f t="shared" si="15"/>
        <v/>
      </c>
      <c r="CR167" s="22" t="str">
        <f t="shared" si="16"/>
        <v/>
      </c>
      <c r="CS167" s="22" t="str">
        <f t="shared" si="17"/>
        <v/>
      </c>
    </row>
    <row r="168" spans="1:97" x14ac:dyDescent="0.3">
      <c r="A168" s="22" t="s">
        <v>143</v>
      </c>
      <c r="B168" s="22" t="s">
        <v>778</v>
      </c>
      <c r="D168" s="22" t="s">
        <v>137</v>
      </c>
      <c r="E168" t="s">
        <v>332</v>
      </c>
      <c r="F168" s="22">
        <v>119758</v>
      </c>
      <c r="G168" t="s">
        <v>147</v>
      </c>
      <c r="H168" s="23">
        <f>Tabel2[[#This Row],[pnt t/m 2021/22]]+Tabel2[[#This Row],[pnt 2022/2023]]</f>
        <v>162.47222222222223</v>
      </c>
      <c r="I168">
        <v>2007</v>
      </c>
      <c r="J168">
        <v>2023</v>
      </c>
      <c r="K168" s="24">
        <f>Tabel2[[#This Row],[ijkdatum]]-Tabel2[[#This Row],[Geboren]]</f>
        <v>16</v>
      </c>
      <c r="L168" s="26">
        <f>Tabel2[[#This Row],[TTL 1]]+Tabel2[[#This Row],[TTL 2]]+Tabel2[[#This Row],[TTL 3]]+Tabel2[[#This Row],[TTL 4]]+Tabel2[[#This Row],[TTL 5]]+Tabel2[[#This Row],[TTL 6]]+Tabel2[[#This Row],[TTL 7]]+Tabel2[[#This Row],[TTL 8]]+Tabel2[[#This Row],[TTL 9]]+Tabel2[[#This Row],[TTL 10]]</f>
        <v>0</v>
      </c>
      <c r="M168" s="153">
        <v>162.47222222222223</v>
      </c>
      <c r="O168">
        <v>1</v>
      </c>
      <c r="S168" s="153">
        <f>SUM(Tabel2[[#This Row],[V 1]]*10+Tabel2[[#This Row],[GT 1]])/Tabel2[[#This Row],[AW 1]]*10+Tabel2[[#This Row],[BONUS 1]]</f>
        <v>0</v>
      </c>
      <c r="U168">
        <v>1</v>
      </c>
      <c r="Y168" s="23">
        <f>SUM(Tabel2[[#This Row],[V 2]]*10+Tabel2[[#This Row],[GT 2]])/Tabel2[[#This Row],[AW 2]]*10+Tabel2[[#This Row],[BONUS 2]]</f>
        <v>0</v>
      </c>
      <c r="AA168">
        <v>1</v>
      </c>
      <c r="AE168" s="23">
        <f>SUM(Tabel2[[#This Row],[V 3]]*10+Tabel2[[#This Row],[GT 3]])/Tabel2[[#This Row],[AW 3]]*10+Tabel2[[#This Row],[BONUS 3]]</f>
        <v>0</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 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8" s="22">
        <v>0</v>
      </c>
      <c r="BX168" s="22">
        <f>Tabel2[[#This Row],[Diploma]]-Tabel2[[#This Row],[Uitgeschreven]]</f>
        <v>0</v>
      </c>
      <c r="BY168" s="155" t="str">
        <f>IF(BX168=0,"geen actie",CONCATENATE("diploma uitschrijven: ",BV168," punten"))</f>
        <v>geen actie</v>
      </c>
      <c r="CA168" s="150">
        <f>Tabel2[[#This Row],[pnt t/m 2021/22]]</f>
        <v>162.47222222222223</v>
      </c>
      <c r="CB168" s="150">
        <f>Tabel2[[#This Row],[pnt 2022/2023]]</f>
        <v>0</v>
      </c>
      <c r="CC168" s="150">
        <f t="shared" si="18"/>
        <v>162.47222222222223</v>
      </c>
      <c r="CD168" s="150">
        <f>IF(Tabel2[[#This Row],[LPR 1]]&gt;0,1,0)</f>
        <v>0</v>
      </c>
      <c r="CE168" s="150">
        <f>IF(Tabel2[[#This Row],[LPR 2]]&gt;0,1,0)</f>
        <v>0</v>
      </c>
      <c r="CF168" s="150">
        <f>IF(Tabel2[[#This Row],[LPR 3]]&gt;0,1,0)</f>
        <v>0</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0</v>
      </c>
      <c r="CO168" s="22" t="str">
        <f t="shared" si="13"/>
        <v/>
      </c>
      <c r="CP168" s="22" t="str">
        <f t="shared" si="14"/>
        <v/>
      </c>
      <c r="CQ168" s="22" t="str">
        <f t="shared" si="15"/>
        <v/>
      </c>
      <c r="CR168" s="22" t="str">
        <f t="shared" si="16"/>
        <v/>
      </c>
      <c r="CS168" s="22" t="str">
        <f t="shared" si="17"/>
        <v/>
      </c>
    </row>
    <row r="169" spans="1:97" x14ac:dyDescent="0.3">
      <c r="A169" s="22" t="s">
        <v>135</v>
      </c>
      <c r="B169" s="22" t="s">
        <v>778</v>
      </c>
      <c r="D169" s="22" t="s">
        <v>137</v>
      </c>
      <c r="E169" t="s">
        <v>333</v>
      </c>
      <c r="F169" s="22">
        <v>120008</v>
      </c>
      <c r="G169" t="s">
        <v>174</v>
      </c>
      <c r="H169" s="142">
        <f>Tabel2[[#This Row],[pnt t/m 2021/22]]+Tabel2[[#This Row],[pnt 2022/2023]]</f>
        <v>414.37229437229439</v>
      </c>
      <c r="I169">
        <v>2010</v>
      </c>
      <c r="J169">
        <v>2023</v>
      </c>
      <c r="K169" s="24">
        <f>Tabel2[[#This Row],[ijkdatum]]-Tabel2[[#This Row],[Geboren]]</f>
        <v>13</v>
      </c>
      <c r="L169" s="26">
        <f>Tabel2[[#This Row],[TTL 1]]+Tabel2[[#This Row],[TTL 2]]+Tabel2[[#This Row],[TTL 3]]+Tabel2[[#This Row],[TTL 4]]+Tabel2[[#This Row],[TTL 5]]+Tabel2[[#This Row],[TTL 6]]+Tabel2[[#This Row],[TTL 7]]+Tabel2[[#This Row],[TTL 8]]+Tabel2[[#This Row],[TTL 9]]+Tabel2[[#This Row],[TTL 10]]</f>
        <v>0</v>
      </c>
      <c r="M169" s="141">
        <v>414.37229437229439</v>
      </c>
      <c r="O169">
        <v>1</v>
      </c>
      <c r="S169" s="23">
        <f>SUM(Tabel2[[#This Row],[V 1]]*10+Tabel2[[#This Row],[GT 1]])/Tabel2[[#This Row],[AW 1]]*10+Tabel2[[#This Row],[BONUS 1]]</f>
        <v>0</v>
      </c>
      <c r="U169">
        <v>1</v>
      </c>
      <c r="Y169" s="23">
        <f>SUM(Tabel2[[#This Row],[V 2]]*10+Tabel2[[#This Row],[GT 2]])/Tabel2[[#This Row],[AW 2]]*10+Tabel2[[#This Row],[BONUS 2]]</f>
        <v>0</v>
      </c>
      <c r="AA169">
        <v>1</v>
      </c>
      <c r="AE169" s="23">
        <f>SUM(Tabel2[[#This Row],[V 3]]*10+Tabel2[[#This Row],[GT 3]])/Tabel2[[#This Row],[AW 3]]*10+Tabel2[[#This Row],[BONUS 3]]</f>
        <v>0</v>
      </c>
      <c r="AG169">
        <v>1</v>
      </c>
      <c r="AK169" s="23">
        <f>SUM(Tabel2[[#This Row],[V 4]]*10+Tabel2[[#This Row],[GT 4]])/Tabel2[[#This Row],[AW 4]]*10+Tabel2[[#This Row],[BONUS 4]]</f>
        <v>0</v>
      </c>
      <c r="AM169">
        <v>1</v>
      </c>
      <c r="AQ169" s="23">
        <f>SUM(Tabel2[[#This Row],[V 5]]*10+Tabel2[[#This Row],[GT 5]])/Tabel2[[#This Row],[AW 5]]*10+Tabel2[[#This Row],[BONUS 5]]</f>
        <v>0</v>
      </c>
      <c r="AS169">
        <v>1</v>
      </c>
      <c r="AW169" s="23">
        <f>SUM(Tabel2[[#This Row],[V 6]]*10+Tabel2[[#This Row],[GT 6]])/Tabel2[[#This Row],[AW 6]]*10+Tabel2[[#This Row],[BONUS 6]]</f>
        <v>0</v>
      </c>
      <c r="AY169">
        <v>1</v>
      </c>
      <c r="BC169" s="23">
        <f>SUM(Tabel2[[#This Row],[V 7]]*10+Tabel2[[#This Row],[GT 7]])/Tabel2[[#This Row],[AW 7]]*10+Tabel2[[#This Row],[BONUS 7]]</f>
        <v>0</v>
      </c>
      <c r="BE169">
        <v>1</v>
      </c>
      <c r="BI169" s="23">
        <f>SUM(Tabel2[[#This Row],[V 8]]*10+Tabel2[[#This Row],[GT 8]])/Tabel2[[#This Row],[AW 8]]*10+Tabel2[[#This Row],[BONUS 8]]</f>
        <v>0</v>
      </c>
      <c r="BK169">
        <v>1</v>
      </c>
      <c r="BO169" s="23">
        <f>SUM(Tabel2[[#This Row],[V 9]]*10+Tabel2[[#This Row],[GT 9]])/Tabel2[[#This Row],[AW 9]]*10+Tabel2[[#This Row],[BONUS 9]]</f>
        <v>0</v>
      </c>
      <c r="BQ169">
        <v>1</v>
      </c>
      <c r="BU169" s="23">
        <f>SUM(Tabel2[[#This Row],[V 10]]*10+Tabel2[[#This Row],[GT 10]])/Tabel2[[#This Row],[AW 10]]*10+Tabel2[[#This Row],[BONUS 10]]</f>
        <v>0</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9" s="22">
        <v>250</v>
      </c>
      <c r="BX169" s="30">
        <f>Tabel2[[#This Row],[Diploma]]-Tabel2[[#This Row],[Uitgeschreven]]</f>
        <v>0</v>
      </c>
      <c r="BY169" s="2" t="str">
        <f>IF(BX169=0,"geen actie",CONCATENATE("diploma uitschrijven: ",BV169," punten"))</f>
        <v>geen actie</v>
      </c>
      <c r="CA169" s="150">
        <f>Tabel2[[#This Row],[pnt t/m 2021/22]]</f>
        <v>414.37229437229439</v>
      </c>
      <c r="CB169" s="150">
        <f>Tabel2[[#This Row],[pnt 2022/2023]]</f>
        <v>0</v>
      </c>
      <c r="CC169" s="150">
        <f t="shared" si="18"/>
        <v>414.37229437229439</v>
      </c>
      <c r="CD169" s="150">
        <f>IF(Tabel2[[#This Row],[LPR 1]]&gt;0,1,0)</f>
        <v>0</v>
      </c>
      <c r="CE169" s="150">
        <f>IF(Tabel2[[#This Row],[LPR 2]]&gt;0,1,0)</f>
        <v>0</v>
      </c>
      <c r="CF169" s="150">
        <f>IF(Tabel2[[#This Row],[LPR 3]]&gt;0,1,0)</f>
        <v>0</v>
      </c>
      <c r="CG169" s="150">
        <f>IF(Tabel2[[#This Row],[LPR 4]]&gt;0,1,0)</f>
        <v>0</v>
      </c>
      <c r="CH169" s="150">
        <f>IF(Tabel2[[#This Row],[LPR 5]]&gt;0,1,0)</f>
        <v>0</v>
      </c>
      <c r="CI169" s="150">
        <f>IF(Tabel2[[#This Row],[LPR 6]]&gt;0,1,0)</f>
        <v>0</v>
      </c>
      <c r="CJ169" s="150">
        <f>IF(Tabel2[[#This Row],[LPR 7]]&gt;0,1,0)</f>
        <v>0</v>
      </c>
      <c r="CK169" s="150">
        <f>IF(Tabel2[[#This Row],[LPR 8]]&gt;0,1,0)</f>
        <v>0</v>
      </c>
      <c r="CL169" s="150">
        <f>IF(Tabel2[[#This Row],[LPR 9]]&gt;0,1,0)</f>
        <v>0</v>
      </c>
      <c r="CM169" s="150">
        <f>IF(Tabel2[[#This Row],[LPR 10]]&gt;0,1,0)</f>
        <v>0</v>
      </c>
      <c r="CN169" s="150">
        <f>SUM(Tabel7[[#This Row],[sep]:[jun]])</f>
        <v>0</v>
      </c>
      <c r="CO169" s="22" t="str">
        <f t="shared" si="13"/>
        <v/>
      </c>
      <c r="CP169" s="22" t="str">
        <f t="shared" si="14"/>
        <v/>
      </c>
      <c r="CQ169" s="22" t="str">
        <f t="shared" si="15"/>
        <v/>
      </c>
      <c r="CR169" s="22" t="str">
        <f t="shared" si="16"/>
        <v/>
      </c>
      <c r="CS169" s="22" t="str">
        <f t="shared" si="17"/>
        <v/>
      </c>
    </row>
    <row r="170" spans="1:97" x14ac:dyDescent="0.3">
      <c r="A170" s="22" t="s">
        <v>169</v>
      </c>
      <c r="B170" s="22" t="s">
        <v>778</v>
      </c>
      <c r="D170" s="22" t="s">
        <v>783</v>
      </c>
      <c r="E170" t="s">
        <v>334</v>
      </c>
      <c r="F170" s="22">
        <v>118931</v>
      </c>
      <c r="G170" t="s">
        <v>185</v>
      </c>
      <c r="H170" s="142">
        <f>Tabel2[[#This Row],[pnt t/m 2021/22]]+Tabel2[[#This Row],[pnt 2022/2023]]</f>
        <v>2208.1679292929293</v>
      </c>
      <c r="I170">
        <v>2012</v>
      </c>
      <c r="J170">
        <v>2023</v>
      </c>
      <c r="K170" s="24">
        <f>Tabel2[[#This Row],[ijkdatum]]-Tabel2[[#This Row],[Geboren]]</f>
        <v>11</v>
      </c>
      <c r="L170" s="26">
        <f>Tabel2[[#This Row],[TTL 1]]+Tabel2[[#This Row],[TTL 2]]+Tabel2[[#This Row],[TTL 3]]+Tabel2[[#This Row],[TTL 4]]+Tabel2[[#This Row],[TTL 5]]+Tabel2[[#This Row],[TTL 6]]+Tabel2[[#This Row],[TTL 7]]+Tabel2[[#This Row],[TTL 8]]+Tabel2[[#This Row],[TTL 9]]+Tabel2[[#This Row],[TTL 10]]</f>
        <v>362.08333333333337</v>
      </c>
      <c r="M170" s="151">
        <v>1846.0845959595958</v>
      </c>
      <c r="N170">
        <v>10</v>
      </c>
      <c r="O170">
        <v>17</v>
      </c>
      <c r="P170">
        <v>5</v>
      </c>
      <c r="Q170">
        <v>52</v>
      </c>
      <c r="R170">
        <v>100</v>
      </c>
      <c r="S170" s="23">
        <f>SUM(Tabel2[[#This Row],[V 1]]*10+Tabel2[[#This Row],[GT 1]])/Tabel2[[#This Row],[AW 1]]*10+Tabel2[[#This Row],[BONUS 1]]</f>
        <v>160</v>
      </c>
      <c r="T170" s="160">
        <v>7</v>
      </c>
      <c r="U170">
        <v>12</v>
      </c>
      <c r="V170">
        <v>7</v>
      </c>
      <c r="W170">
        <v>105</v>
      </c>
      <c r="X170">
        <v>100</v>
      </c>
      <c r="Y170" s="23">
        <f>SUM(Tabel2[[#This Row],[V 2]]*10+(Tabel2[[#This Row],[GT 2]]/2))/Tabel2[[#This Row],[AW 2]]*10+Tabel2[[#This Row],[BONUS 2]]</f>
        <v>202.08333333333334</v>
      </c>
      <c r="AA170">
        <v>1</v>
      </c>
      <c r="AE170" s="23">
        <f>SUM(Tabel2[[#This Row],[V 3]]*10+Tabel2[[#This Row],[GT 3]])/Tabel2[[#This Row],[AW 3]]*10+Tabel2[[#This Row],[BONUS 3]]</f>
        <v>0</v>
      </c>
      <c r="AG170">
        <v>1</v>
      </c>
      <c r="AK170" s="23">
        <f>SUM(Tabel2[[#This Row],[V 4]]*10+Tabel2[[#This Row],[GT 4]])/Tabel2[[#This Row],[AW 4]]*10+Tabel2[[#This Row],[BONUS 4]]</f>
        <v>0</v>
      </c>
      <c r="AM170">
        <v>1</v>
      </c>
      <c r="AQ170" s="23">
        <f>SUM(Tabel2[[#This Row],[V 5]]*10+Tabel2[[#This Row],[GT 5]])/Tabel2[[#This Row],[AW 5]]*10+Tabel2[[#This Row],[BONUS 5]]</f>
        <v>0</v>
      </c>
      <c r="AS170">
        <v>1</v>
      </c>
      <c r="AW170" s="23">
        <f>SUM(Tabel2[[#This Row],[V 6]]*10+Tabel2[[#This Row],[GT 6]])/Tabel2[[#This Row],[AW 6]]*10+Tabel2[[#This Row],[BONUS 6]]</f>
        <v>0</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10]])/2)/Tabel2[[#This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70" s="22">
        <v>2000</v>
      </c>
      <c r="BX170" s="30">
        <f>Tabel2[[#This Row],[Diploma]]-Tabel2[[#This Row],[Uitgeschreven]]</f>
        <v>0</v>
      </c>
      <c r="BY170" s="2" t="str">
        <f>IF(BX170=0,"geen actie",CONCATENATE("diploma uitschrijven: ",BV170," punten"))</f>
        <v>geen actie</v>
      </c>
      <c r="CA170" s="150">
        <f>Tabel2[[#This Row],[pnt t/m 2021/22]]</f>
        <v>1846.0845959595958</v>
      </c>
      <c r="CB170" s="150">
        <f>Tabel2[[#This Row],[pnt 2022/2023]]</f>
        <v>362.08333333333337</v>
      </c>
      <c r="CC170" s="150">
        <f t="shared" si="18"/>
        <v>2208.1679292929293</v>
      </c>
      <c r="CD170" s="150">
        <f>IF(Tabel2[[#This Row],[LPR 1]]&gt;0,1,0)</f>
        <v>1</v>
      </c>
      <c r="CE170" s="150">
        <f>IF(Tabel2[[#This Row],[LPR 2]]&gt;0,1,0)</f>
        <v>1</v>
      </c>
      <c r="CF170" s="150">
        <f>IF(Tabel2[[#This Row],[LPR 3]]&gt;0,1,0)</f>
        <v>0</v>
      </c>
      <c r="CG170" s="150">
        <f>IF(Tabel2[[#This Row],[LPR 4]]&gt;0,1,0)</f>
        <v>0</v>
      </c>
      <c r="CH170" s="150">
        <f>IF(Tabel2[[#This Row],[LPR 5]]&gt;0,1,0)</f>
        <v>0</v>
      </c>
      <c r="CI170" s="150">
        <f>IF(Tabel2[[#This Row],[LPR 6]]&gt;0,1,0)</f>
        <v>0</v>
      </c>
      <c r="CJ170" s="150">
        <f>IF(Tabel2[[#This Row],[LPR 7]]&gt;0,1,0)</f>
        <v>0</v>
      </c>
      <c r="CK170" s="150">
        <f>IF(Tabel2[[#This Row],[LPR 8]]&gt;0,1,0)</f>
        <v>0</v>
      </c>
      <c r="CL170" s="150">
        <f>IF(Tabel2[[#This Row],[LPR 9]]&gt;0,1,0)</f>
        <v>0</v>
      </c>
      <c r="CM170" s="150">
        <f>IF(Tabel2[[#This Row],[LPR 10]]&gt;0,1,0)</f>
        <v>0</v>
      </c>
      <c r="CN170" s="150">
        <f>SUM(Tabel7[[#This Row],[sep]:[jun]])</f>
        <v>2</v>
      </c>
      <c r="CO170" s="22" t="str">
        <f t="shared" si="13"/>
        <v/>
      </c>
      <c r="CP170" s="22" t="str">
        <f t="shared" si="14"/>
        <v/>
      </c>
      <c r="CQ170" s="22" t="str">
        <f t="shared" si="15"/>
        <v>x</v>
      </c>
      <c r="CR170" s="22" t="str">
        <f t="shared" si="16"/>
        <v/>
      </c>
      <c r="CS170" s="22" t="str">
        <f t="shared" si="17"/>
        <v/>
      </c>
    </row>
    <row r="171" spans="1:97" x14ac:dyDescent="0.3">
      <c r="A171" s="22" t="s">
        <v>140</v>
      </c>
      <c r="B171" s="22" t="s">
        <v>779</v>
      </c>
      <c r="D171" s="22" t="s">
        <v>137</v>
      </c>
      <c r="E171" t="s">
        <v>335</v>
      </c>
      <c r="F171" s="22">
        <v>120732</v>
      </c>
      <c r="G171" t="s">
        <v>336</v>
      </c>
      <c r="H171" s="27">
        <f>Tabel2[[#This Row],[pnt t/m 2021/22]]+Tabel2[[#This Row],[pnt 2022/2023]]</f>
        <v>77.777777777777771</v>
      </c>
      <c r="I171">
        <v>2011</v>
      </c>
      <c r="J171">
        <v>2023</v>
      </c>
      <c r="K171" s="24">
        <f>Tabel2[[#This Row],[ijkdatum]]-Tabel2[[#This Row],[Geboren]]</f>
        <v>12</v>
      </c>
      <c r="L171" s="26">
        <f>Tabel2[[#This Row],[TTL 1]]+Tabel2[[#This Row],[TTL 2]]+Tabel2[[#This Row],[TTL 3]]+Tabel2[[#This Row],[TTL 4]]+Tabel2[[#This Row],[TTL 5]]+Tabel2[[#This Row],[TTL 6]]+Tabel2[[#This Row],[TTL 7]]+Tabel2[[#This Row],[TTL 8]]+Tabel2[[#This Row],[TTL 9]]+Tabel2[[#This Row],[TTL 10]]</f>
        <v>0</v>
      </c>
      <c r="M171" s="157">
        <v>77.777777777777771</v>
      </c>
      <c r="N171" s="31"/>
      <c r="O171">
        <v>1</v>
      </c>
      <c r="S171" s="157">
        <f>SUM(Tabel2[[#This Row],[V 1]]*10+Tabel2[[#This Row],[GT 1]])/Tabel2[[#This Row],[AW 1]]*10+Tabel2[[#This Row],[BONUS 1]]</f>
        <v>0</v>
      </c>
      <c r="U171">
        <v>1</v>
      </c>
      <c r="Y171" s="153">
        <f>SUM(Tabel2[[#This Row],[V 2]]*10+Tabel2[[#This Row],[GT 2]])/Tabel2[[#This Row],[AW 2]]*10+Tabel2[[#This Row],[BONUS 2]]</f>
        <v>0</v>
      </c>
      <c r="AA171">
        <v>1</v>
      </c>
      <c r="AE171" s="153">
        <f>SUM(Tabel2[[#This Row],[V 3]]*10+Tabel2[[#This Row],[GT 3]])/Tabel2[[#This Row],[AW 3]]*10+Tabel2[[#This Row],[BONUS 3]]</f>
        <v>0</v>
      </c>
      <c r="AG171">
        <v>1</v>
      </c>
      <c r="AK171" s="153">
        <f>SUM(Tabel2[[#This Row],[V 4]]*10+Tabel2[[#This Row],[GT 4]])/Tabel2[[#This Row],[AW 4]]*10+Tabel2[[#This Row],[BONUS 4]]</f>
        <v>0</v>
      </c>
      <c r="AM171">
        <v>1</v>
      </c>
      <c r="AQ171" s="153">
        <f>SUM(Tabel2[[#This Row],[V 5]]*10+Tabel2[[#This Row],[GT 5]])/Tabel2[[#This Row],[AW 5]]*10+Tabel2[[#This Row],[BONUS 5]]</f>
        <v>0</v>
      </c>
      <c r="AS171">
        <v>1</v>
      </c>
      <c r="AW171" s="153">
        <f>SUM(Tabel2[[#This Row],[V 6]]*10+Tabel2[[#This Row],[GT 6]])/Tabel2[[#This Row],[AW 6]]*10+Tabel2[[#This Row],[BONUS 6]]</f>
        <v>0</v>
      </c>
      <c r="AY171">
        <v>1</v>
      </c>
      <c r="BC171" s="153">
        <f>SUM(Tabel2[[#This Row],[V 7]]*10+Tabel2[[#This Row],[GT 7]])/Tabel2[[#This Row],[AW 7]]*10+Tabel2[[#This Row],[BONUS 7]]</f>
        <v>0</v>
      </c>
      <c r="BE171">
        <v>1</v>
      </c>
      <c r="BI171" s="153">
        <f>SUM(Tabel2[[#This Row],[V 8]]*10+Tabel2[[#This Row],[GT 8]])/Tabel2[[#This Row],[AW 8]]*10+Tabel2[[#This Row],[BONUS 8]]</f>
        <v>0</v>
      </c>
      <c r="BK171">
        <v>1</v>
      </c>
      <c r="BO171" s="153">
        <f>SUM(Tabel2[[#This Row],[V 9]]*10+Tabel2[[#This Row],[GT 9]])/Tabel2[[#This Row],[AW 9]]*10+Tabel2[[#This Row],[BONUS 9]]</f>
        <v>0</v>
      </c>
      <c r="BQ171">
        <v>1</v>
      </c>
      <c r="BU171" s="23">
        <f>SUM(Tabel2[[#This Row],[V 10]]*10+Tabel2[[#This Row],[GT 10]])/Tabel2[[#This Row],[AW 10]]*10+Tabel2[[#This Row],[BONUS 10]]</f>
        <v>0</v>
      </c>
      <c r="BV17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1" s="22">
        <v>0</v>
      </c>
      <c r="BX171" s="22">
        <f>Tabel2[[#This Row],[Diploma]]-Tabel2[[#This Row],[Uitgeschreven]]</f>
        <v>0</v>
      </c>
      <c r="BY171" s="155" t="str">
        <f>IF(BX171=0,"geen actie",CONCATENATE("diploma uitschrijven: ",BV171," punten"))</f>
        <v>geen actie</v>
      </c>
      <c r="CA171" s="150">
        <f>Tabel2[[#This Row],[pnt t/m 2021/22]]</f>
        <v>77.777777777777771</v>
      </c>
      <c r="CB171" s="150">
        <f>Tabel2[[#This Row],[pnt 2022/2023]]</f>
        <v>0</v>
      </c>
      <c r="CC171" s="150">
        <f t="shared" si="18"/>
        <v>77.777777777777771</v>
      </c>
      <c r="CD171" s="150">
        <f>IF(Tabel2[[#This Row],[LPR 1]]&gt;0,1,0)</f>
        <v>0</v>
      </c>
      <c r="CE171" s="150">
        <f>IF(Tabel2[[#This Row],[LPR 2]]&gt;0,1,0)</f>
        <v>0</v>
      </c>
      <c r="CF171" s="150">
        <f>IF(Tabel2[[#This Row],[LPR 3]]&gt;0,1,0)</f>
        <v>0</v>
      </c>
      <c r="CG171" s="150">
        <f>IF(Tabel2[[#This Row],[LPR 4]]&gt;0,1,0)</f>
        <v>0</v>
      </c>
      <c r="CH171" s="150">
        <f>IF(Tabel2[[#This Row],[LPR 5]]&gt;0,1,0)</f>
        <v>0</v>
      </c>
      <c r="CI171" s="150">
        <f>IF(Tabel2[[#This Row],[LPR 6]]&gt;0,1,0)</f>
        <v>0</v>
      </c>
      <c r="CJ171" s="150">
        <f>IF(Tabel2[[#This Row],[LPR 7]]&gt;0,1,0)</f>
        <v>0</v>
      </c>
      <c r="CK171" s="150">
        <f>IF(Tabel2[[#This Row],[LPR 8]]&gt;0,1,0)</f>
        <v>0</v>
      </c>
      <c r="CL171" s="150">
        <f>IF(Tabel2[[#This Row],[LPR 9]]&gt;0,1,0)</f>
        <v>0</v>
      </c>
      <c r="CM171" s="150">
        <f>IF(Tabel2[[#This Row],[LPR 10]]&gt;0,1,0)</f>
        <v>0</v>
      </c>
      <c r="CN171" s="150">
        <f>SUM(Tabel7[[#This Row],[sep]:[jun]])</f>
        <v>0</v>
      </c>
      <c r="CO171" s="22" t="str">
        <f t="shared" si="13"/>
        <v/>
      </c>
      <c r="CP171" s="22" t="str">
        <f t="shared" si="14"/>
        <v/>
      </c>
      <c r="CQ171" s="22" t="str">
        <f t="shared" si="15"/>
        <v/>
      </c>
      <c r="CR171" s="22" t="str">
        <f t="shared" si="16"/>
        <v/>
      </c>
      <c r="CS171" s="22" t="str">
        <f t="shared" si="17"/>
        <v/>
      </c>
    </row>
    <row r="172" spans="1:97" x14ac:dyDescent="0.3">
      <c r="A172" s="22" t="s">
        <v>135</v>
      </c>
      <c r="B172" s="22" t="s">
        <v>778</v>
      </c>
      <c r="D172" s="22" t="s">
        <v>137</v>
      </c>
      <c r="E172" t="s">
        <v>337</v>
      </c>
      <c r="F172" s="22">
        <v>120181</v>
      </c>
      <c r="G172" s="25" t="s">
        <v>336</v>
      </c>
      <c r="H172" s="27">
        <f>Tabel2[[#This Row],[pnt t/m 2021/22]]+Tabel2[[#This Row],[pnt 2022/2023]]</f>
        <v>863.44444444444446</v>
      </c>
      <c r="I172">
        <v>2005</v>
      </c>
      <c r="J172">
        <v>2023</v>
      </c>
      <c r="K172" s="24">
        <f>Tabel2[[#This Row],[ijkdatum]]-Tabel2[[#This Row],[Geboren]]</f>
        <v>18</v>
      </c>
      <c r="L172" s="26">
        <f>Tabel2[[#This Row],[TTL 1]]+Tabel2[[#This Row],[TTL 2]]+Tabel2[[#This Row],[TTL 3]]+Tabel2[[#This Row],[TTL 4]]+Tabel2[[#This Row],[TTL 5]]+Tabel2[[#This Row],[TTL 6]]+Tabel2[[#This Row],[TTL 7]]+Tabel2[[#This Row],[TTL 8]]+Tabel2[[#This Row],[TTL 9]]+Tabel2[[#This Row],[TTL 10]]</f>
        <v>0</v>
      </c>
      <c r="M172" s="157">
        <v>863.44444444444446</v>
      </c>
      <c r="N172" s="31"/>
      <c r="O172">
        <v>1</v>
      </c>
      <c r="S172" s="157">
        <f>SUM(Tabel2[[#This Row],[V 1]]*10+Tabel2[[#This Row],[GT 1]])/Tabel2[[#This Row],[AW 1]]*10+Tabel2[[#This Row],[BONUS 1]]</f>
        <v>0</v>
      </c>
      <c r="U172">
        <v>1</v>
      </c>
      <c r="Y172" s="153">
        <f>SUM(Tabel2[[#This Row],[V 2]]*10+Tabel2[[#This Row],[GT 2]])/Tabel2[[#This Row],[AW 2]]*10+Tabel2[[#This Row],[BONUS 2]]</f>
        <v>0</v>
      </c>
      <c r="AA172">
        <v>1</v>
      </c>
      <c r="AE172" s="153">
        <f>SUM(Tabel2[[#This Row],[V 3]]*10+Tabel2[[#This Row],[GT 3]])/Tabel2[[#This Row],[AW 3]]*10+Tabel2[[#This Row],[BONUS 3]]</f>
        <v>0</v>
      </c>
      <c r="AG172">
        <v>1</v>
      </c>
      <c r="AK172" s="153">
        <f>SUM(Tabel2[[#This Row],[V 4]]*10+Tabel2[[#This Row],[GT 4]])/Tabel2[[#This Row],[AW 4]]*10+Tabel2[[#This Row],[BONUS 4]]</f>
        <v>0</v>
      </c>
      <c r="AM172">
        <v>1</v>
      </c>
      <c r="AQ172" s="153">
        <f>SUM(Tabel2[[#This Row],[V 5]]*10+Tabel2[[#This Row],[GT 5]])/Tabel2[[#This Row],[AW 5]]*10+Tabel2[[#This Row],[BONUS 5]]</f>
        <v>0</v>
      </c>
      <c r="AS172">
        <v>1</v>
      </c>
      <c r="AW172" s="153">
        <f>SUM(Tabel2[[#This Row],[V 6]]*10+Tabel2[[#This Row],[GT 6]])/Tabel2[[#This Row],[AW 6]]*10+Tabel2[[#This Row],[BONUS 6]]</f>
        <v>0</v>
      </c>
      <c r="AY172">
        <v>1</v>
      </c>
      <c r="BC172" s="153">
        <f>SUM(Tabel2[[#This Row],[V 7]]*10+Tabel2[[#This Row],[GT 7]])/Tabel2[[#This Row],[AW 7]]*10+Tabel2[[#This Row],[BONUS 7]]</f>
        <v>0</v>
      </c>
      <c r="BE172">
        <v>1</v>
      </c>
      <c r="BI172" s="23">
        <f>SUM(Tabel2[[#This Row],[V 8]]*10+Tabel2[[#This Row],[GT 8]])/Tabel2[[#This Row],[AW 8]]*10+Tabel2[[#This Row],[BONUS 8]]</f>
        <v>0</v>
      </c>
      <c r="BK172">
        <v>1</v>
      </c>
      <c r="BO172" s="15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2" s="22">
        <v>750</v>
      </c>
      <c r="BX172" s="22">
        <f>Tabel2[[#This Row],[Diploma]]-Tabel2[[#This Row],[Uitgeschreven]]</f>
        <v>0</v>
      </c>
      <c r="BY172" s="155" t="str">
        <f>IF(BX172=0,"geen actie",CONCATENATE("diploma uitschrijven: ",BV172," punten"))</f>
        <v>geen actie</v>
      </c>
      <c r="CA172" s="150">
        <f>Tabel2[[#This Row],[pnt t/m 2021/22]]</f>
        <v>863.44444444444446</v>
      </c>
      <c r="CB172" s="150">
        <f>Tabel2[[#This Row],[pnt 2022/2023]]</f>
        <v>0</v>
      </c>
      <c r="CC172" s="150">
        <f t="shared" si="18"/>
        <v>863.44444444444446</v>
      </c>
      <c r="CD172" s="150">
        <f>IF(Tabel2[[#This Row],[LPR 1]]&gt;0,1,0)</f>
        <v>0</v>
      </c>
      <c r="CE172" s="150">
        <f>IF(Tabel2[[#This Row],[LPR 2]]&gt;0,1,0)</f>
        <v>0</v>
      </c>
      <c r="CF172" s="150">
        <f>IF(Tabel2[[#This Row],[LPR 3]]&gt;0,1,0)</f>
        <v>0</v>
      </c>
      <c r="CG172" s="150">
        <f>IF(Tabel2[[#This Row],[LPR 4]]&gt;0,1,0)</f>
        <v>0</v>
      </c>
      <c r="CH172" s="150">
        <f>IF(Tabel2[[#This Row],[LPR 5]]&gt;0,1,0)</f>
        <v>0</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0</v>
      </c>
      <c r="CO172" s="22" t="str">
        <f t="shared" si="13"/>
        <v/>
      </c>
      <c r="CP172" s="22" t="str">
        <f t="shared" si="14"/>
        <v/>
      </c>
      <c r="CQ172" s="22" t="str">
        <f t="shared" si="15"/>
        <v/>
      </c>
      <c r="CR172" s="22" t="str">
        <f t="shared" si="16"/>
        <v/>
      </c>
      <c r="CS172" s="22" t="str">
        <f t="shared" si="17"/>
        <v/>
      </c>
    </row>
    <row r="173" spans="1:97" x14ac:dyDescent="0.3">
      <c r="A173" s="22" t="s">
        <v>143</v>
      </c>
      <c r="B173" s="22" t="s">
        <v>778</v>
      </c>
      <c r="D173" s="22" t="s">
        <v>137</v>
      </c>
      <c r="E173" t="s">
        <v>338</v>
      </c>
      <c r="F173" s="22">
        <v>120149</v>
      </c>
      <c r="G173" s="25" t="s">
        <v>196</v>
      </c>
      <c r="H173" s="154">
        <f>Tabel2[[#This Row],[pnt t/m 2021/22]]+Tabel2[[#This Row],[pnt 2022/2023]]</f>
        <v>95.714285714285708</v>
      </c>
      <c r="I173">
        <v>2010</v>
      </c>
      <c r="J173">
        <v>2023</v>
      </c>
      <c r="K173" s="24">
        <f>Tabel2[[#This Row],[ijkdatum]]-Tabel2[[#This Row],[Geboren]]</f>
        <v>13</v>
      </c>
      <c r="L173" s="26">
        <f>Tabel2[[#This Row],[TTL 1]]+Tabel2[[#This Row],[TTL 2]]+Tabel2[[#This Row],[TTL 3]]+Tabel2[[#This Row],[TTL 4]]+Tabel2[[#This Row],[TTL 5]]+Tabel2[[#This Row],[TTL 6]]+Tabel2[[#This Row],[TTL 7]]+Tabel2[[#This Row],[TTL 8]]+Tabel2[[#This Row],[TTL 9]]+Tabel2[[#This Row],[TTL 10]]</f>
        <v>0</v>
      </c>
      <c r="M173" s="151">
        <v>95.714285714285708</v>
      </c>
      <c r="N173" s="31"/>
      <c r="O173">
        <v>1</v>
      </c>
      <c r="S173" s="27">
        <f>SUM(Tabel2[[#This Row],[V 1]]*10+Tabel2[[#This Row],[GT 1]])/Tabel2[[#This Row],[AW 1]]*10+Tabel2[[#This Row],[BONUS 1]]</f>
        <v>0</v>
      </c>
      <c r="U173">
        <v>1</v>
      </c>
      <c r="Y173" s="23">
        <f>SUM(Tabel2[[#This Row],[V 2]]*10+Tabel2[[#This Row],[GT 2]])/Tabel2[[#This Row],[AW 2]]*10+Tabel2[[#This Row],[BONUS 2]]</f>
        <v>0</v>
      </c>
      <c r="AA173">
        <v>1</v>
      </c>
      <c r="AE173" s="23">
        <f>SUM(Tabel2[[#This Row],[V 3]]*10+Tabel2[[#This Row],[GT 3]])/Tabel2[[#This Row],[AW 3]]*10+Tabel2[[#This Row],[BONUS 3]]</f>
        <v>0</v>
      </c>
      <c r="AG173">
        <v>1</v>
      </c>
      <c r="AK173" s="23">
        <f>SUM(Tabel2[[#This Row],[V 4]]*10+Tabel2[[#This Row],[GT 4]])/Tabel2[[#This Row],[AW 4]]*10+Tabel2[[#This Row],[BONUS 4]]</f>
        <v>0</v>
      </c>
      <c r="AM173">
        <v>1</v>
      </c>
      <c r="AQ173" s="23">
        <f>SUM(Tabel2[[#This Row],[V 5]]*10+Tabel2[[#This Row],[GT 5]])/Tabel2[[#This Row],[AW 5]]*10+Tabel2[[#This Row],[BONUS 5]]</f>
        <v>0</v>
      </c>
      <c r="AS173">
        <v>1</v>
      </c>
      <c r="AW173" s="23">
        <f>SUM(Tabel2[[#This Row],[V 6]]*10+Tabel2[[#This Row],[GT 6]])/Tabel2[[#This Row],[AW 6]]*10+Tabel2[[#This Row],[BONUS 6]]</f>
        <v>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3" s="22">
        <v>0</v>
      </c>
      <c r="BX173" s="30">
        <f>Tabel2[[#This Row],[Diploma]]-Tabel2[[#This Row],[Uitgeschreven]]</f>
        <v>0</v>
      </c>
      <c r="BY173" s="2" t="str">
        <f>IF(BX173=0,"geen actie",CONCATENATE("diploma uitschrijven: ",BV173," punten"))</f>
        <v>geen actie</v>
      </c>
      <c r="CA173" s="150">
        <f>Tabel2[[#This Row],[pnt t/m 2021/22]]</f>
        <v>95.714285714285708</v>
      </c>
      <c r="CB173" s="150">
        <f>Tabel2[[#This Row],[pnt 2022/2023]]</f>
        <v>0</v>
      </c>
      <c r="CC173" s="150">
        <f t="shared" si="18"/>
        <v>95.714285714285708</v>
      </c>
      <c r="CD173" s="150">
        <f>IF(Tabel2[[#This Row],[LPR 1]]&gt;0,1,0)</f>
        <v>0</v>
      </c>
      <c r="CE173" s="150">
        <f>IF(Tabel2[[#This Row],[LPR 2]]&gt;0,1,0)</f>
        <v>0</v>
      </c>
      <c r="CF173" s="150">
        <f>IF(Tabel2[[#This Row],[LPR 3]]&gt;0,1,0)</f>
        <v>0</v>
      </c>
      <c r="CG173" s="150">
        <f>IF(Tabel2[[#This Row],[LPR 4]]&gt;0,1,0)</f>
        <v>0</v>
      </c>
      <c r="CH173" s="150">
        <f>IF(Tabel2[[#This Row],[LPR 5]]&gt;0,1,0)</f>
        <v>0</v>
      </c>
      <c r="CI173" s="150">
        <f>IF(Tabel2[[#This Row],[LPR 6]]&gt;0,1,0)</f>
        <v>0</v>
      </c>
      <c r="CJ173" s="150">
        <f>IF(Tabel2[[#This Row],[LPR 7]]&gt;0,1,0)</f>
        <v>0</v>
      </c>
      <c r="CK173" s="150">
        <f>IF(Tabel2[[#This Row],[LPR 8]]&gt;0,1,0)</f>
        <v>0</v>
      </c>
      <c r="CL173" s="150">
        <f>IF(Tabel2[[#This Row],[LPR 9]]&gt;0,1,0)</f>
        <v>0</v>
      </c>
      <c r="CM173" s="150">
        <f>IF(Tabel2[[#This Row],[LPR 10]]&gt;0,1,0)</f>
        <v>0</v>
      </c>
      <c r="CN173" s="150">
        <f>SUM(Tabel7[[#This Row],[sep]:[jun]])</f>
        <v>0</v>
      </c>
      <c r="CO173" s="22" t="str">
        <f t="shared" si="13"/>
        <v/>
      </c>
      <c r="CP173" s="22" t="str">
        <f t="shared" si="14"/>
        <v/>
      </c>
      <c r="CQ173" s="22" t="str">
        <f t="shared" si="15"/>
        <v/>
      </c>
      <c r="CR173" s="22" t="str">
        <f t="shared" si="16"/>
        <v/>
      </c>
      <c r="CS173" s="22" t="str">
        <f t="shared" si="17"/>
        <v/>
      </c>
    </row>
    <row r="174" spans="1:97" x14ac:dyDescent="0.3">
      <c r="A174" s="22" t="s">
        <v>140</v>
      </c>
      <c r="B174" s="22" t="s">
        <v>779</v>
      </c>
      <c r="D174" s="22" t="s">
        <v>137</v>
      </c>
      <c r="E174" t="s">
        <v>339</v>
      </c>
      <c r="F174" s="22">
        <v>120494</v>
      </c>
      <c r="G174" s="25" t="s">
        <v>161</v>
      </c>
      <c r="H174" s="27">
        <f>Tabel2[[#This Row],[pnt t/m 2021/22]]+Tabel2[[#This Row],[pnt 2022/2023]]</f>
        <v>93</v>
      </c>
      <c r="I174">
        <v>2012</v>
      </c>
      <c r="J174">
        <v>2023</v>
      </c>
      <c r="K174" s="24">
        <f>Tabel2[[#This Row],[ijkdatum]]-Tabel2[[#This Row],[Geboren]]</f>
        <v>11</v>
      </c>
      <c r="L174" s="26">
        <f>Tabel2[[#This Row],[TTL 1]]+Tabel2[[#This Row],[TTL 2]]+Tabel2[[#This Row],[TTL 3]]+Tabel2[[#This Row],[TTL 4]]+Tabel2[[#This Row],[TTL 5]]+Tabel2[[#This Row],[TTL 6]]+Tabel2[[#This Row],[TTL 7]]+Tabel2[[#This Row],[TTL 8]]+Tabel2[[#This Row],[TTL 9]]+Tabel2[[#This Row],[TTL 10]]</f>
        <v>0</v>
      </c>
      <c r="M174" s="157">
        <v>93</v>
      </c>
      <c r="N174" s="31"/>
      <c r="O174">
        <v>1</v>
      </c>
      <c r="S174" s="157">
        <f>SUM(Tabel2[[#This Row],[V 1]]*10+Tabel2[[#This Row],[GT 1]])/Tabel2[[#This Row],[AW 1]]*10+Tabel2[[#This Row],[BONUS 1]]</f>
        <v>0</v>
      </c>
      <c r="U174">
        <v>1</v>
      </c>
      <c r="Y174" s="153">
        <f>SUM(Tabel2[[#This Row],[V 2]]*10+Tabel2[[#This Row],[GT 2]])/Tabel2[[#This Row],[AW 2]]*10+Tabel2[[#This Row],[BONUS 2]]</f>
        <v>0</v>
      </c>
      <c r="AA174">
        <v>1</v>
      </c>
      <c r="AE174" s="153">
        <f>SUM(Tabel2[[#This Row],[V 3]]*10+Tabel2[[#This Row],[GT 3]])/Tabel2[[#This Row],[AW 3]]*10+Tabel2[[#This Row],[BONUS 3]]</f>
        <v>0</v>
      </c>
      <c r="AG174">
        <v>1</v>
      </c>
      <c r="AK174" s="153">
        <f>SUM(Tabel2[[#This Row],[V 4]]*10+Tabel2[[#This Row],[GT 4]])/Tabel2[[#This Row],[AW 4]]*10+Tabel2[[#This Row],[BONUS 4]]</f>
        <v>0</v>
      </c>
      <c r="AM174">
        <v>1</v>
      </c>
      <c r="AQ174" s="153">
        <f>SUM(Tabel2[[#This Row],[V 5]]*10+Tabel2[[#This Row],[GT 5]])/Tabel2[[#This Row],[AW 5]]*10+Tabel2[[#This Row],[BONUS 5]]</f>
        <v>0</v>
      </c>
      <c r="AS174">
        <v>1</v>
      </c>
      <c r="AW174" s="153">
        <f>SUM(Tabel2[[#This Row],[V 6]]*10+Tabel2[[#This Row],[GT 6]])/Tabel2[[#This Row],[AW 6]]*10+Tabel2[[#This Row],[BONUS 6]]</f>
        <v>0</v>
      </c>
      <c r="AY174">
        <v>1</v>
      </c>
      <c r="BC174" s="153">
        <f>SUM(Tabel2[[#This Row],[V 7]]*10+Tabel2[[#This Row],[GT 7]])/Tabel2[[#This Row],[AW 7]]*10+Tabel2[[#This Row],[BONUS 7]]</f>
        <v>0</v>
      </c>
      <c r="BE174">
        <v>1</v>
      </c>
      <c r="BI174" s="153">
        <f>SUM(Tabel2[[#This Row],[V 8]]*10+Tabel2[[#This Row],[GT 8]])/Tabel2[[#This Row],[AW 8]]*10+Tabel2[[#This Row],[BONUS 8]]</f>
        <v>0</v>
      </c>
      <c r="BK174">
        <v>1</v>
      </c>
      <c r="BO174" s="153">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4" s="22">
        <v>0</v>
      </c>
      <c r="BX174" s="22">
        <f>Tabel2[[#This Row],[Diploma]]-Tabel2[[#This Row],[Uitgeschreven]]</f>
        <v>0</v>
      </c>
      <c r="BY174" s="155" t="str">
        <f>IF(BX174=0,"geen actie",CONCATENATE("diploma uitschrijven: ",BV174," punten"))</f>
        <v>geen actie</v>
      </c>
      <c r="CA174" s="150">
        <f>Tabel2[[#This Row],[pnt t/m 2021/22]]</f>
        <v>93</v>
      </c>
      <c r="CB174" s="150">
        <f>Tabel2[[#This Row],[pnt 2022/2023]]</f>
        <v>0</v>
      </c>
      <c r="CC174" s="150">
        <f t="shared" si="18"/>
        <v>93</v>
      </c>
      <c r="CD174" s="150">
        <f>IF(Tabel2[[#This Row],[LPR 1]]&gt;0,1,0)</f>
        <v>0</v>
      </c>
      <c r="CE174" s="150">
        <f>IF(Tabel2[[#This Row],[LPR 2]]&gt;0,1,0)</f>
        <v>0</v>
      </c>
      <c r="CF174" s="150">
        <f>IF(Tabel2[[#This Row],[LPR 3]]&gt;0,1,0)</f>
        <v>0</v>
      </c>
      <c r="CG174" s="150">
        <f>IF(Tabel2[[#This Row],[LPR 4]]&gt;0,1,0)</f>
        <v>0</v>
      </c>
      <c r="CH174" s="150">
        <f>IF(Tabel2[[#This Row],[LPR 5]]&gt;0,1,0)</f>
        <v>0</v>
      </c>
      <c r="CI174" s="150">
        <f>IF(Tabel2[[#This Row],[LPR 6]]&gt;0,1,0)</f>
        <v>0</v>
      </c>
      <c r="CJ174" s="150">
        <f>IF(Tabel2[[#This Row],[LPR 7]]&gt;0,1,0)</f>
        <v>0</v>
      </c>
      <c r="CK174" s="150">
        <f>IF(Tabel2[[#This Row],[LPR 8]]&gt;0,1,0)</f>
        <v>0</v>
      </c>
      <c r="CL174" s="150">
        <f>IF(Tabel2[[#This Row],[LPR 9]]&gt;0,1,0)</f>
        <v>0</v>
      </c>
      <c r="CM174" s="150">
        <f>IF(Tabel2[[#This Row],[LPR 10]]&gt;0,1,0)</f>
        <v>0</v>
      </c>
      <c r="CN174" s="150">
        <f>SUM(Tabel7[[#This Row],[sep]:[jun]])</f>
        <v>0</v>
      </c>
      <c r="CO174" s="22" t="str">
        <f t="shared" si="13"/>
        <v/>
      </c>
      <c r="CP174" s="22" t="str">
        <f t="shared" si="14"/>
        <v/>
      </c>
      <c r="CQ174" s="22" t="str">
        <f t="shared" si="15"/>
        <v/>
      </c>
      <c r="CR174" s="22" t="str">
        <f t="shared" si="16"/>
        <v/>
      </c>
      <c r="CS174" s="22" t="str">
        <f t="shared" si="17"/>
        <v/>
      </c>
    </row>
    <row r="175" spans="1:97" x14ac:dyDescent="0.3">
      <c r="A175" s="22" t="s">
        <v>135</v>
      </c>
      <c r="B175" s="22" t="s">
        <v>778</v>
      </c>
      <c r="D175" s="22" t="s">
        <v>137</v>
      </c>
      <c r="E175" t="s">
        <v>340</v>
      </c>
      <c r="F175" s="22">
        <v>117576</v>
      </c>
      <c r="G175" s="25" t="s">
        <v>174</v>
      </c>
      <c r="H175" s="154">
        <f>Tabel2[[#This Row],[pnt t/m 2021/22]]+Tabel2[[#This Row],[pnt 2022/2023]]</f>
        <v>1423.5824175824177</v>
      </c>
      <c r="I175">
        <v>2009</v>
      </c>
      <c r="J175">
        <v>2023</v>
      </c>
      <c r="K175" s="24">
        <f>Tabel2[[#This Row],[ijkdatum]]-Tabel2[[#This Row],[Geboren]]</f>
        <v>14</v>
      </c>
      <c r="L175" s="26">
        <f>Tabel2[[#This Row],[TTL 1]]+Tabel2[[#This Row],[TTL 2]]+Tabel2[[#This Row],[TTL 3]]+Tabel2[[#This Row],[TTL 4]]+Tabel2[[#This Row],[TTL 5]]+Tabel2[[#This Row],[TTL 6]]+Tabel2[[#This Row],[TTL 7]]+Tabel2[[#This Row],[TTL 8]]+Tabel2[[#This Row],[TTL 9]]+Tabel2[[#This Row],[TTL 10]]</f>
        <v>0</v>
      </c>
      <c r="M175" s="151">
        <v>1423.5824175824177</v>
      </c>
      <c r="N175" s="31"/>
      <c r="O175">
        <v>1</v>
      </c>
      <c r="S175" s="27">
        <f>SUM(Tabel2[[#This Row],[V 1]]*10+Tabel2[[#This Row],[GT 1]])/Tabel2[[#This Row],[AW 1]]*10+Tabel2[[#This Row],[BONUS 1]]</f>
        <v>0</v>
      </c>
      <c r="U175">
        <v>1</v>
      </c>
      <c r="Y175" s="23">
        <f>SUM(Tabel2[[#This Row],[V 2]]*10+Tabel2[[#This Row],[GT 2]])/Tabel2[[#This Row],[AW 2]]*10+Tabel2[[#This Row],[BONUS 2]]</f>
        <v>0</v>
      </c>
      <c r="AA175">
        <v>1</v>
      </c>
      <c r="AE175" s="23">
        <f>SUM(Tabel2[[#This Row],[V 3]]*10+Tabel2[[#This Row],[GT 3]])/Tabel2[[#This Row],[AW 3]]*10+Tabel2[[#This Row],[BONUS 3]]</f>
        <v>0</v>
      </c>
      <c r="AG175">
        <v>1</v>
      </c>
      <c r="AK175" s="23">
        <f>SUM(Tabel2[[#This Row],[V 4]]*10+Tabel2[[#This Row],[GT 4]])/Tabel2[[#This Row],[AW 4]]*10+Tabel2[[#This Row],[BONUS 4]]</f>
        <v>0</v>
      </c>
      <c r="AM175">
        <v>1</v>
      </c>
      <c r="AQ175" s="23">
        <f>SUM(Tabel2[[#This Row],[V 5]]*10+Tabel2[[#This Row],[GT 5]])/Tabel2[[#This Row],[AW 5]]*10+Tabel2[[#This Row],[BONUS 5]]</f>
        <v>0</v>
      </c>
      <c r="AS175">
        <v>1</v>
      </c>
      <c r="AW175" s="23">
        <f>SUM(Tabel2[[#This Row],[V 6]]*10+Tabel2[[#This Row],[GT 6]])/Tabel2[[#This Row],[AW 6]]*10+Tabel2[[#This Row],[BONUS 6]]</f>
        <v>0</v>
      </c>
      <c r="AY175">
        <v>1</v>
      </c>
      <c r="BC175" s="23">
        <f>SUM(Tabel2[[#This Row],[V 7]]*10+Tabel2[[#This Row],[GT 7]])/Tabel2[[#This Row],[AW 7]]*10+Tabel2[[#This Row],[BONUS 7]]</f>
        <v>0</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5" s="22">
        <v>1000</v>
      </c>
      <c r="BX175" s="30">
        <f>Tabel2[[#This Row],[Diploma]]-Tabel2[[#This Row],[Uitgeschreven]]</f>
        <v>0</v>
      </c>
      <c r="BY175" s="2" t="str">
        <f>IF(BX175=0,"geen actie",CONCATENATE("diploma uitschrijven: ",BV175," punten"))</f>
        <v>geen actie</v>
      </c>
      <c r="CA175" s="150">
        <f>Tabel2[[#This Row],[pnt t/m 2021/22]]</f>
        <v>1423.5824175824177</v>
      </c>
      <c r="CB175" s="150">
        <f>Tabel2[[#This Row],[pnt 2022/2023]]</f>
        <v>0</v>
      </c>
      <c r="CC175" s="150">
        <f t="shared" si="18"/>
        <v>1423.5824175824177</v>
      </c>
      <c r="CD175" s="150">
        <f>IF(Tabel2[[#This Row],[LPR 1]]&gt;0,1,0)</f>
        <v>0</v>
      </c>
      <c r="CE175" s="150">
        <f>IF(Tabel2[[#This Row],[LPR 2]]&gt;0,1,0)</f>
        <v>0</v>
      </c>
      <c r="CF175" s="150">
        <f>IF(Tabel2[[#This Row],[LPR 3]]&gt;0,1,0)</f>
        <v>0</v>
      </c>
      <c r="CG175" s="150">
        <f>IF(Tabel2[[#This Row],[LPR 4]]&gt;0,1,0)</f>
        <v>0</v>
      </c>
      <c r="CH175" s="150">
        <f>IF(Tabel2[[#This Row],[LPR 5]]&gt;0,1,0)</f>
        <v>0</v>
      </c>
      <c r="CI175" s="150">
        <f>IF(Tabel2[[#This Row],[LPR 6]]&gt;0,1,0)</f>
        <v>0</v>
      </c>
      <c r="CJ175" s="150">
        <f>IF(Tabel2[[#This Row],[LPR 7]]&gt;0,1,0)</f>
        <v>0</v>
      </c>
      <c r="CK175" s="150">
        <f>IF(Tabel2[[#This Row],[LPR 8]]&gt;0,1,0)</f>
        <v>0</v>
      </c>
      <c r="CL175" s="150">
        <f>IF(Tabel2[[#This Row],[LPR 9]]&gt;0,1,0)</f>
        <v>0</v>
      </c>
      <c r="CM175" s="150">
        <f>IF(Tabel2[[#This Row],[LPR 10]]&gt;0,1,0)</f>
        <v>0</v>
      </c>
      <c r="CN175" s="150">
        <f>SUM(Tabel7[[#This Row],[sep]:[jun]])</f>
        <v>0</v>
      </c>
      <c r="CO175" s="22" t="str">
        <f t="shared" si="13"/>
        <v/>
      </c>
      <c r="CP175" s="22" t="str">
        <f t="shared" si="14"/>
        <v/>
      </c>
      <c r="CQ175" s="22" t="str">
        <f t="shared" si="15"/>
        <v/>
      </c>
      <c r="CR175" s="22" t="str">
        <f t="shared" si="16"/>
        <v/>
      </c>
      <c r="CS175" s="22" t="str">
        <f t="shared" si="17"/>
        <v/>
      </c>
    </row>
    <row r="176" spans="1:97" x14ac:dyDescent="0.3">
      <c r="A176" s="22" t="s">
        <v>145</v>
      </c>
      <c r="B176" s="22" t="s">
        <v>778</v>
      </c>
      <c r="D176" s="22" t="s">
        <v>137</v>
      </c>
      <c r="E176" t="s">
        <v>341</v>
      </c>
      <c r="F176" s="22">
        <v>120274</v>
      </c>
      <c r="G176" s="25" t="s">
        <v>149</v>
      </c>
      <c r="H176" s="27">
        <f>Tabel2[[#This Row],[pnt t/m 2021/22]]+Tabel2[[#This Row],[pnt 2022/2023]]</f>
        <v>218.75</v>
      </c>
      <c r="I176">
        <v>2007</v>
      </c>
      <c r="J176">
        <v>2023</v>
      </c>
      <c r="K176" s="24">
        <f>Tabel2[[#This Row],[ijkdatum]]-Tabel2[[#This Row],[Geboren]]</f>
        <v>16</v>
      </c>
      <c r="L176" s="26">
        <f>Tabel2[[#This Row],[TTL 1]]+Tabel2[[#This Row],[TTL 2]]+Tabel2[[#This Row],[TTL 3]]+Tabel2[[#This Row],[TTL 4]]+Tabel2[[#This Row],[TTL 5]]+Tabel2[[#This Row],[TTL 6]]+Tabel2[[#This Row],[TTL 7]]+Tabel2[[#This Row],[TTL 8]]+Tabel2[[#This Row],[TTL 9]]+Tabel2[[#This Row],[TTL 10]]</f>
        <v>0</v>
      </c>
      <c r="M176" s="157">
        <v>218.75</v>
      </c>
      <c r="N176" s="31"/>
      <c r="O176">
        <v>1</v>
      </c>
      <c r="S176" s="157">
        <f>SUM(Tabel2[[#This Row],[V 1]]*10+Tabel2[[#This Row],[GT 1]])/Tabel2[[#This Row],[AW 1]]*10+Tabel2[[#This Row],[BONUS 1]]</f>
        <v>0</v>
      </c>
      <c r="U176">
        <v>1</v>
      </c>
      <c r="Y176" s="23">
        <f>SUM(Tabel2[[#This Row],[V 2]]*10+Tabel2[[#This Row],[GT 2]])/Tabel2[[#This Row],[AW 2]]*10+Tabel2[[#This Row],[BONUS 2]]</f>
        <v>0</v>
      </c>
      <c r="AA176">
        <v>1</v>
      </c>
      <c r="AE176" s="23">
        <f>SUM(Tabel2[[#This Row],[V 3]]*10+Tabel2[[#This Row],[GT 3]])/Tabel2[[#This Row],[AW 3]]*10+Tabel2[[#This Row],[BONUS 3]]</f>
        <v>0</v>
      </c>
      <c r="AG176">
        <v>1</v>
      </c>
      <c r="AK176" s="23">
        <f>SUM(Tabel2[[#This Row],[V 4]]*10+Tabel2[[#This Row],[GT 4]])/Tabel2[[#This Row],[AW 4]]*10+Tabel2[[#This Row],[BONUS 4]]</f>
        <v>0</v>
      </c>
      <c r="AM176">
        <v>1</v>
      </c>
      <c r="AQ176" s="23">
        <f>SUM(Tabel2[[#This Row],[V 5]]*10+Tabel2[[#This Row],[GT 5]])/Tabel2[[#This Row],[AW 5]]*10+Tabel2[[#This Row],[BONUS 5]]</f>
        <v>0</v>
      </c>
      <c r="AS176">
        <v>1</v>
      </c>
      <c r="AW176" s="23">
        <f>SUM(Tabel2[[#This Row],[V 6]]*10+Tabel2[[#This Row],[GT 6]])/Tabel2[[#This Row],[AW 6]]*10+Tabel2[[#This Row],[BONUS 6]]</f>
        <v>0</v>
      </c>
      <c r="AY176">
        <v>1</v>
      </c>
      <c r="BC176" s="23">
        <f>SUM(Tabel2[[#This Row],[V 7]]*10+Tabel2[[#This Row],[GT 7]])/Tabel2[[#This Row],[AW 7]]*10+Tabel2[[#This Row],[BONUS 7]]</f>
        <v>0</v>
      </c>
      <c r="BE176">
        <v>1</v>
      </c>
      <c r="BI176" s="23">
        <f>SUM(Tabel2[[#This Row],[V 8]]*10+Tabel2[[#This Row],[GT 8]])/Tabel2[[#This Row],[AW 8]]*10+Tabel2[[#This Row],[BONUS 8]]</f>
        <v>0</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6" s="22">
        <v>0</v>
      </c>
      <c r="BX176" s="22">
        <f>Tabel2[[#This Row],[Diploma]]-Tabel2[[#This Row],[Uitgeschreven]]</f>
        <v>0</v>
      </c>
      <c r="BY176" s="155" t="str">
        <f>IF(BX176=0,"geen actie",CONCATENATE("diploma uitschrijven: ",BV176," punten"))</f>
        <v>geen actie</v>
      </c>
      <c r="CA176" s="150">
        <f>Tabel2[[#This Row],[pnt t/m 2021/22]]</f>
        <v>218.75</v>
      </c>
      <c r="CB176" s="150">
        <f>Tabel2[[#This Row],[pnt 2022/2023]]</f>
        <v>0</v>
      </c>
      <c r="CC176" s="150">
        <f t="shared" si="18"/>
        <v>218.75</v>
      </c>
      <c r="CD176" s="150">
        <f>IF(Tabel2[[#This Row],[LPR 1]]&gt;0,1,0)</f>
        <v>0</v>
      </c>
      <c r="CE176" s="150">
        <f>IF(Tabel2[[#This Row],[LPR 2]]&gt;0,1,0)</f>
        <v>0</v>
      </c>
      <c r="CF176" s="150">
        <f>IF(Tabel2[[#This Row],[LPR 3]]&gt;0,1,0)</f>
        <v>0</v>
      </c>
      <c r="CG176" s="150">
        <f>IF(Tabel2[[#This Row],[LPR 4]]&gt;0,1,0)</f>
        <v>0</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0</v>
      </c>
      <c r="CO176" s="22" t="str">
        <f t="shared" si="13"/>
        <v/>
      </c>
      <c r="CP176" s="22" t="str">
        <f t="shared" si="14"/>
        <v/>
      </c>
      <c r="CQ176" s="22" t="str">
        <f t="shared" si="15"/>
        <v/>
      </c>
      <c r="CR176" s="22" t="str">
        <f t="shared" si="16"/>
        <v/>
      </c>
      <c r="CS176" s="22" t="str">
        <f t="shared" si="17"/>
        <v/>
      </c>
    </row>
    <row r="177" spans="1:97" x14ac:dyDescent="0.3">
      <c r="A177" s="22" t="s">
        <v>143</v>
      </c>
      <c r="B177" s="22" t="s">
        <v>778</v>
      </c>
      <c r="D177" s="22" t="s">
        <v>137</v>
      </c>
      <c r="E177" t="s">
        <v>342</v>
      </c>
      <c r="F177" s="22">
        <v>118920</v>
      </c>
      <c r="G177" s="25" t="s">
        <v>161</v>
      </c>
      <c r="H177" s="154">
        <f>Tabel2[[#This Row],[pnt t/m 2021/22]]+Tabel2[[#This Row],[pnt 2022/2023]]</f>
        <v>115.71428571428572</v>
      </c>
      <c r="I177">
        <v>2010</v>
      </c>
      <c r="J177">
        <v>2023</v>
      </c>
      <c r="K177" s="24">
        <f>Tabel2[[#This Row],[ijkdatum]]-Tabel2[[#This Row],[Geboren]]</f>
        <v>13</v>
      </c>
      <c r="L177" s="26">
        <f>Tabel2[[#This Row],[TTL 1]]+Tabel2[[#This Row],[TTL 2]]+Tabel2[[#This Row],[TTL 3]]+Tabel2[[#This Row],[TTL 4]]+Tabel2[[#This Row],[TTL 5]]+Tabel2[[#This Row],[TTL 6]]+Tabel2[[#This Row],[TTL 7]]+Tabel2[[#This Row],[TTL 8]]+Tabel2[[#This Row],[TTL 9]]+Tabel2[[#This Row],[TTL 10]]</f>
        <v>0</v>
      </c>
      <c r="M177" s="157">
        <v>115.71428571428572</v>
      </c>
      <c r="N177" s="31"/>
      <c r="O177">
        <v>1</v>
      </c>
      <c r="S177" s="27">
        <f>SUM(Tabel2[[#This Row],[V 1]]*10+Tabel2[[#This Row],[GT 1]])/Tabel2[[#This Row],[AW 1]]*10+Tabel2[[#This Row],[BONUS 1]]</f>
        <v>0</v>
      </c>
      <c r="U177">
        <v>1</v>
      </c>
      <c r="Y177" s="23">
        <f>SUM(Tabel2[[#This Row],[V 2]]*10+Tabel2[[#This Row],[GT 2]])/Tabel2[[#This Row],[AW 2]]*10+Tabel2[[#This Row],[BONUS 2]]</f>
        <v>0</v>
      </c>
      <c r="AA177">
        <v>1</v>
      </c>
      <c r="AE177" s="23">
        <f>SUM(Tabel2[[#This Row],[V 3]]*10+Tabel2[[#This Row],[GT 3]])/Tabel2[[#This Row],[AW 3]]*10+Tabel2[[#This Row],[BONUS 3]]</f>
        <v>0</v>
      </c>
      <c r="AG177">
        <v>1</v>
      </c>
      <c r="AK177" s="23">
        <f>SUM(Tabel2[[#This Row],[V 4]]*10+Tabel2[[#This Row],[GT 4]])/Tabel2[[#This Row],[AW 4]]*10+Tabel2[[#This Row],[BONUS 4]]</f>
        <v>0</v>
      </c>
      <c r="AM177">
        <v>1</v>
      </c>
      <c r="AQ177" s="23">
        <f>SUM(Tabel2[[#This Row],[V 5]]*10+Tabel2[[#This Row],[GT 5]])/Tabel2[[#This Row],[AW 5]]*10+Tabel2[[#This Row],[BONUS 5]]</f>
        <v>0</v>
      </c>
      <c r="AS177">
        <v>1</v>
      </c>
      <c r="AW177" s="23">
        <f>SUM(Tabel2[[#This Row],[V 6]]*10+Tabel2[[#This Row],[GT 6]])/Tabel2[[#This Row],[AW 6]]*10+Tabel2[[#This Row],[BONUS 6]]</f>
        <v>0</v>
      </c>
      <c r="AY177">
        <v>1</v>
      </c>
      <c r="BC177" s="23">
        <f>SUM(Tabel2[[#This Row],[V 7]]*10+Tabel2[[#This Row],[GT 7]])/Tabel2[[#This Row],[AW 7]]*10+Tabel2[[#This Row],[BONUS 7]]</f>
        <v>0</v>
      </c>
      <c r="BE177">
        <v>1</v>
      </c>
      <c r="BI177" s="23">
        <f>SUM(Tabel2[[#This Row],[V 8]]*10+Tabel2[[#This Row],[GT 8]])/Tabel2[[#This Row],[AW 8]]*10+Tabel2[[#This Row],[BONUS 8]]</f>
        <v>0</v>
      </c>
      <c r="BK177">
        <v>1</v>
      </c>
      <c r="BO177" s="23">
        <f>SUM(Tabel2[[#This Row],[V 9]]*10+Tabel2[[#This Row],[GT 9]])/Tabel2[[#This Row],[AW 9]]*10+Tabel2[[#This Row],[BONUS 9]]</f>
        <v>0</v>
      </c>
      <c r="BQ177">
        <v>1</v>
      </c>
      <c r="BU177" s="23">
        <f>SUM(Tabel2[[#This Row],[V 10]]*10+Tabel2[[#This Row],[GT 10]])/Tabel2[[#This Row],[AW 10]]*10+Tabel2[[#This Row],[BONUS 10]]</f>
        <v>0</v>
      </c>
      <c r="BV1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7" s="22">
        <v>0</v>
      </c>
      <c r="BX177" s="30">
        <f>Tabel2[[#This Row],[Diploma]]-Tabel2[[#This Row],[Uitgeschreven]]</f>
        <v>0</v>
      </c>
      <c r="BY177" s="2" t="str">
        <f>IF(BX177=0,"geen actie",CONCATENATE("diploma uitschrijven: ",BV177," punten"))</f>
        <v>geen actie</v>
      </c>
      <c r="CA177" s="150">
        <f>Tabel2[[#This Row],[pnt t/m 2021/22]]</f>
        <v>115.71428571428572</v>
      </c>
      <c r="CB177" s="150">
        <f>Tabel2[[#This Row],[pnt 2022/2023]]</f>
        <v>0</v>
      </c>
      <c r="CC177" s="150">
        <f t="shared" si="18"/>
        <v>115.71428571428572</v>
      </c>
      <c r="CD177" s="150">
        <f>IF(Tabel2[[#This Row],[LPR 1]]&gt;0,1,0)</f>
        <v>0</v>
      </c>
      <c r="CE177" s="150">
        <f>IF(Tabel2[[#This Row],[LPR 2]]&gt;0,1,0)</f>
        <v>0</v>
      </c>
      <c r="CF177" s="150">
        <f>IF(Tabel2[[#This Row],[LPR 3]]&gt;0,1,0)</f>
        <v>0</v>
      </c>
      <c r="CG177" s="150">
        <f>IF(Tabel2[[#This Row],[LPR 4]]&gt;0,1,0)</f>
        <v>0</v>
      </c>
      <c r="CH177" s="150">
        <f>IF(Tabel2[[#This Row],[LPR 5]]&gt;0,1,0)</f>
        <v>0</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0</v>
      </c>
      <c r="CO177" s="22" t="str">
        <f t="shared" si="13"/>
        <v/>
      </c>
      <c r="CP177" s="22" t="str">
        <f t="shared" si="14"/>
        <v/>
      </c>
      <c r="CQ177" s="22" t="str">
        <f t="shared" si="15"/>
        <v/>
      </c>
      <c r="CR177" s="22" t="str">
        <f t="shared" si="16"/>
        <v/>
      </c>
      <c r="CS177" s="22" t="str">
        <f t="shared" si="17"/>
        <v/>
      </c>
    </row>
    <row r="178" spans="1:97" x14ac:dyDescent="0.3">
      <c r="A178" s="22" t="s">
        <v>140</v>
      </c>
      <c r="B178" s="22" t="s">
        <v>778</v>
      </c>
      <c r="D178" s="22" t="s">
        <v>137</v>
      </c>
      <c r="E178" t="s">
        <v>343</v>
      </c>
      <c r="F178" s="22">
        <v>118383</v>
      </c>
      <c r="G178" s="25" t="s">
        <v>330</v>
      </c>
      <c r="H178" s="154">
        <f>Tabel2[[#This Row],[pnt t/m 2021/22]]+Tabel2[[#This Row],[pnt 2022/2023]]</f>
        <v>1272.5198412698414</v>
      </c>
      <c r="I178">
        <v>2011</v>
      </c>
      <c r="J178">
        <v>2023</v>
      </c>
      <c r="K178" s="24">
        <f>Tabel2[[#This Row],[ijkdatum]]-Tabel2[[#This Row],[Geboren]]</f>
        <v>12</v>
      </c>
      <c r="L178" s="26">
        <f>Tabel2[[#This Row],[TTL 1]]+Tabel2[[#This Row],[TTL 2]]+Tabel2[[#This Row],[TTL 3]]+Tabel2[[#This Row],[TTL 4]]+Tabel2[[#This Row],[TTL 5]]+Tabel2[[#This Row],[TTL 6]]+Tabel2[[#This Row],[TTL 7]]+Tabel2[[#This Row],[TTL 8]]+Tabel2[[#This Row],[TTL 9]]+Tabel2[[#This Row],[TTL 10]]</f>
        <v>0</v>
      </c>
      <c r="M178" s="157">
        <v>1272.5198412698414</v>
      </c>
      <c r="N178" s="31"/>
      <c r="O178">
        <v>1</v>
      </c>
      <c r="S178" s="27">
        <f>SUM(Tabel2[[#This Row],[V 1]]*10+Tabel2[[#This Row],[GT 1]])/Tabel2[[#This Row],[AW 1]]*10+Tabel2[[#This Row],[BONUS 1]]</f>
        <v>0</v>
      </c>
      <c r="U178">
        <v>1</v>
      </c>
      <c r="Y178" s="23">
        <f>SUM(Tabel2[[#This Row],[V 2]]*10+Tabel2[[#This Row],[GT 2]])/Tabel2[[#This Row],[AW 2]]*10+Tabel2[[#This Row],[BONUS 2]]</f>
        <v>0</v>
      </c>
      <c r="AA178">
        <v>1</v>
      </c>
      <c r="AE178" s="23">
        <f>SUM(Tabel2[[#This Row],[V 3]]*10+Tabel2[[#This Row],[GT 3]])/Tabel2[[#This Row],[AW 3]]*10+Tabel2[[#This Row],[BONUS 3]]</f>
        <v>0</v>
      </c>
      <c r="AG178">
        <v>1</v>
      </c>
      <c r="AK178" s="23">
        <f>SUM(Tabel2[[#This Row],[V 4]]*10+Tabel2[[#This Row],[GT 4]])/Tabel2[[#This Row],[AW 4]]*10+Tabel2[[#This Row],[BONUS 4]]</f>
        <v>0</v>
      </c>
      <c r="AM178">
        <v>1</v>
      </c>
      <c r="AQ178" s="23">
        <f>SUM(Tabel2[[#This Row],[V 5]]*10+Tabel2[[#This Row],[GT 5]])/Tabel2[[#This Row],[AW 5]]*10+Tabel2[[#This Row],[BONUS 5]]</f>
        <v>0</v>
      </c>
      <c r="AS178">
        <v>1</v>
      </c>
      <c r="AW178" s="23">
        <f>SUM(Tabel2[[#This Row],[V 6]]*10+Tabel2[[#This Row],[GT 6]])/Tabel2[[#This Row],[AW 6]]*10+Tabel2[[#This Row],[BONUS 6]]</f>
        <v>0</v>
      </c>
      <c r="AY178">
        <v>1</v>
      </c>
      <c r="BC178" s="23">
        <f>SUM(Tabel2[[#This Row],[V 7]]*10+Tabel2[[#This Row],[GT 7]])/Tabel2[[#This Row],[AW 7]]*10+Tabel2[[#This Row],[BONUS 7]]</f>
        <v>0</v>
      </c>
      <c r="BE178">
        <v>1</v>
      </c>
      <c r="BI178" s="23">
        <f>SUM(Tabel2[[#This Row],[V 8]]*10+Tabel2[[#This Row],[GT 8]])/Tabel2[[#This Row],[AW 8]]*10+Tabel2[[#This Row],[BONUS 8]]</f>
        <v>0</v>
      </c>
      <c r="BK178">
        <v>1</v>
      </c>
      <c r="BO178" s="23">
        <f>SUM(Tabel2[[#This Row],[V 9]]*10+Tabel2[[#This Row],[GT 9]])/Tabel2[[#This Row],[AW 9]]*10+Tabel2[[#This Row],[BONUS 9]]</f>
        <v>0</v>
      </c>
      <c r="BQ178">
        <v>1</v>
      </c>
      <c r="BU178" s="23">
        <f>SUM(Tabel2[[#This Row],[V 10]]*10+Tabel2[[#This Row],[GT 10]])/Tabel2[[#This Row],[AW 10]]*10+Tabel2[[#This Row],[BONUS 10]]</f>
        <v>0</v>
      </c>
      <c r="BV1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8" s="22">
        <v>1000</v>
      </c>
      <c r="BX178" s="30">
        <f>Tabel2[[#This Row],[Diploma]]-Tabel2[[#This Row],[Uitgeschreven]]</f>
        <v>0</v>
      </c>
      <c r="BY178" s="2" t="str">
        <f>IF(BX178=0,"geen actie",CONCATENATE("diploma uitschrijven: ",BV178," punten"))</f>
        <v>geen actie</v>
      </c>
      <c r="CA178" s="150">
        <f>Tabel2[[#This Row],[pnt t/m 2021/22]]</f>
        <v>1272.5198412698414</v>
      </c>
      <c r="CB178" s="150">
        <f>Tabel2[[#This Row],[pnt 2022/2023]]</f>
        <v>0</v>
      </c>
      <c r="CC178" s="150">
        <f t="shared" si="18"/>
        <v>1272.5198412698414</v>
      </c>
      <c r="CD178" s="150">
        <f>IF(Tabel2[[#This Row],[LPR 1]]&gt;0,1,0)</f>
        <v>0</v>
      </c>
      <c r="CE178" s="150">
        <f>IF(Tabel2[[#This Row],[LPR 2]]&gt;0,1,0)</f>
        <v>0</v>
      </c>
      <c r="CF178" s="150">
        <f>IF(Tabel2[[#This Row],[LPR 3]]&gt;0,1,0)</f>
        <v>0</v>
      </c>
      <c r="CG178" s="150">
        <f>IF(Tabel2[[#This Row],[LPR 4]]&gt;0,1,0)</f>
        <v>0</v>
      </c>
      <c r="CH178" s="150">
        <f>IF(Tabel2[[#This Row],[LPR 5]]&gt;0,1,0)</f>
        <v>0</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0</v>
      </c>
      <c r="CO178" s="22" t="str">
        <f t="shared" si="13"/>
        <v/>
      </c>
      <c r="CP178" s="22" t="str">
        <f t="shared" si="14"/>
        <v/>
      </c>
      <c r="CQ178" s="22" t="str">
        <f t="shared" si="15"/>
        <v/>
      </c>
      <c r="CR178" s="22" t="str">
        <f t="shared" si="16"/>
        <v/>
      </c>
      <c r="CS178" s="22" t="str">
        <f t="shared" si="17"/>
        <v/>
      </c>
    </row>
    <row r="179" spans="1:97" x14ac:dyDescent="0.3">
      <c r="A179" s="22" t="s">
        <v>135</v>
      </c>
      <c r="B179" s="22" t="s">
        <v>778</v>
      </c>
      <c r="D179" s="22" t="s">
        <v>137</v>
      </c>
      <c r="E179" t="s">
        <v>345</v>
      </c>
      <c r="F179" s="22">
        <v>119179</v>
      </c>
      <c r="G179" s="25" t="s">
        <v>177</v>
      </c>
      <c r="H179" s="154">
        <f>Tabel2[[#This Row],[pnt t/m 2021/22]]+Tabel2[[#This Row],[pnt 2022/2023]]</f>
        <v>653.14285714285711</v>
      </c>
      <c r="I179">
        <v>2011</v>
      </c>
      <c r="J179">
        <v>2023</v>
      </c>
      <c r="K179" s="24">
        <f>Tabel2[[#This Row],[ijkdatum]]-Tabel2[[#This Row],[Geboren]]</f>
        <v>12</v>
      </c>
      <c r="L179" s="26">
        <f>Tabel2[[#This Row],[TTL 1]]+Tabel2[[#This Row],[TTL 2]]+Tabel2[[#This Row],[TTL 3]]+Tabel2[[#This Row],[TTL 4]]+Tabel2[[#This Row],[TTL 5]]+Tabel2[[#This Row],[TTL 6]]+Tabel2[[#This Row],[TTL 7]]+Tabel2[[#This Row],[TTL 8]]+Tabel2[[#This Row],[TTL 9]]+Tabel2[[#This Row],[TTL 10]]</f>
        <v>0</v>
      </c>
      <c r="M179" s="151">
        <v>653.14285714285711</v>
      </c>
      <c r="N179" s="31"/>
      <c r="O179">
        <v>1</v>
      </c>
      <c r="S179" s="27">
        <f>SUM(Tabel2[[#This Row],[V 1]]*10+Tabel2[[#This Row],[GT 1]])/Tabel2[[#This Row],[AW 1]]*10+Tabel2[[#This Row],[BONUS 1]]</f>
        <v>0</v>
      </c>
      <c r="U179">
        <v>1</v>
      </c>
      <c r="Y179" s="23">
        <f>SUM(Tabel2[[#This Row],[V 2]]*10+Tabel2[[#This Row],[GT 2]])/Tabel2[[#This Row],[AW 2]]*10+Tabel2[[#This Row],[BONUS 2]]</f>
        <v>0</v>
      </c>
      <c r="AA179">
        <v>1</v>
      </c>
      <c r="AE179" s="23">
        <f>SUM(Tabel2[[#This Row],[V 3]]*10+Tabel2[[#This Row],[GT 3]])/Tabel2[[#This Row],[AW 3]]*10+Tabel2[[#This Row],[BONUS 3]]</f>
        <v>0</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 6]])/Tabel2[[#This Row],[AW 6]]*10+Tabel2[[#This Row],[BONUS 6]]</f>
        <v>0</v>
      </c>
      <c r="AY179">
        <v>1</v>
      </c>
      <c r="BC179" s="23">
        <f>SUM(Tabel2[[#This Row],[V 7]]*10+Tabel2[[#This Row],[GT 7]])/Tabel2[[#This Row],[AW 7]]*10+Tabel2[[#This Row],[BONUS 7]]</f>
        <v>0</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9" s="22">
        <v>500</v>
      </c>
      <c r="BX179" s="30">
        <f>Tabel2[[#This Row],[Diploma]]-Tabel2[[#This Row],[Uitgeschreven]]</f>
        <v>0</v>
      </c>
      <c r="BY179" s="2" t="str">
        <f>IF(BX179=0,"geen actie",CONCATENATE("diploma uitschrijven: ",BV179," punten"))</f>
        <v>geen actie</v>
      </c>
      <c r="CA179" s="150">
        <f>Tabel2[[#This Row],[pnt t/m 2021/22]]</f>
        <v>653.14285714285711</v>
      </c>
      <c r="CB179" s="150">
        <f>Tabel2[[#This Row],[pnt 2022/2023]]</f>
        <v>0</v>
      </c>
      <c r="CC179" s="150">
        <f t="shared" si="18"/>
        <v>653.14285714285711</v>
      </c>
      <c r="CD179" s="150">
        <f>IF(Tabel2[[#This Row],[LPR 1]]&gt;0,1,0)</f>
        <v>0</v>
      </c>
      <c r="CE179" s="150">
        <f>IF(Tabel2[[#This Row],[LPR 2]]&gt;0,1,0)</f>
        <v>0</v>
      </c>
      <c r="CF179" s="150">
        <f>IF(Tabel2[[#This Row],[LPR 3]]&gt;0,1,0)</f>
        <v>0</v>
      </c>
      <c r="CG179" s="150">
        <f>IF(Tabel2[[#This Row],[LPR 4]]&gt;0,1,0)</f>
        <v>0</v>
      </c>
      <c r="CH179" s="150">
        <f>IF(Tabel2[[#This Row],[LPR 5]]&gt;0,1,0)</f>
        <v>0</v>
      </c>
      <c r="CI179" s="150">
        <f>IF(Tabel2[[#This Row],[LPR 6]]&gt;0,1,0)</f>
        <v>0</v>
      </c>
      <c r="CJ179" s="150">
        <f>IF(Tabel2[[#This Row],[LPR 7]]&gt;0,1,0)</f>
        <v>0</v>
      </c>
      <c r="CK179" s="150">
        <f>IF(Tabel2[[#This Row],[LPR 8]]&gt;0,1,0)</f>
        <v>0</v>
      </c>
      <c r="CL179" s="150">
        <f>IF(Tabel2[[#This Row],[LPR 9]]&gt;0,1,0)</f>
        <v>0</v>
      </c>
      <c r="CM179" s="150">
        <f>IF(Tabel2[[#This Row],[LPR 10]]&gt;0,1,0)</f>
        <v>0</v>
      </c>
      <c r="CN179" s="150">
        <f>SUM(Tabel7[[#This Row],[sep]:[jun]])</f>
        <v>0</v>
      </c>
      <c r="CO179" s="22" t="str">
        <f t="shared" si="13"/>
        <v/>
      </c>
      <c r="CP179" s="22" t="str">
        <f t="shared" si="14"/>
        <v/>
      </c>
      <c r="CQ179" s="22" t="str">
        <f t="shared" si="15"/>
        <v/>
      </c>
      <c r="CR179" s="22" t="str">
        <f t="shared" si="16"/>
        <v/>
      </c>
      <c r="CS179" s="22" t="str">
        <f t="shared" si="17"/>
        <v/>
      </c>
    </row>
    <row r="180" spans="1:97" x14ac:dyDescent="0.3">
      <c r="A180" s="22" t="s">
        <v>140</v>
      </c>
      <c r="B180" s="22" t="s">
        <v>779</v>
      </c>
      <c r="D180" s="22" t="s">
        <v>137</v>
      </c>
      <c r="E180" t="s">
        <v>346</v>
      </c>
      <c r="F180" s="22">
        <v>117703</v>
      </c>
      <c r="G180" s="25" t="s">
        <v>147</v>
      </c>
      <c r="H180" s="154">
        <f>Tabel2[[#This Row],[pnt t/m 2021/22]]+Tabel2[[#This Row],[pnt 2022/2023]]</f>
        <v>1309.4029304029305</v>
      </c>
      <c r="I180">
        <v>2010</v>
      </c>
      <c r="J180">
        <v>2023</v>
      </c>
      <c r="K180" s="24">
        <f>Tabel2[[#This Row],[ijkdatum]]-Tabel2[[#This Row],[Geboren]]</f>
        <v>13</v>
      </c>
      <c r="L180" s="26">
        <f>Tabel2[[#This Row],[TTL 1]]+Tabel2[[#This Row],[TTL 2]]+Tabel2[[#This Row],[TTL 3]]+Tabel2[[#This Row],[TTL 4]]+Tabel2[[#This Row],[TTL 5]]+Tabel2[[#This Row],[TTL 6]]+Tabel2[[#This Row],[TTL 7]]+Tabel2[[#This Row],[TTL 8]]+Tabel2[[#This Row],[TTL 9]]+Tabel2[[#This Row],[TTL 10]]</f>
        <v>0</v>
      </c>
      <c r="M180" s="157">
        <v>1309.4029304029305</v>
      </c>
      <c r="N180" s="31"/>
      <c r="O180">
        <v>1</v>
      </c>
      <c r="S180" s="27">
        <f>SUM(Tabel2[[#This Row],[V 1]]*10+Tabel2[[#This Row],[GT 1]])/Tabel2[[#This Row],[AW 1]]*10+Tabel2[[#This Row],[BONUS 1]]</f>
        <v>0</v>
      </c>
      <c r="U180">
        <v>1</v>
      </c>
      <c r="Y180" s="23">
        <f>SUM(Tabel2[[#This Row],[V 2]]*10+Tabel2[[#This Row],[GT 2]])/Tabel2[[#This Row],[AW 2]]*10+Tabel2[[#This Row],[BONUS 2]]</f>
        <v>0</v>
      </c>
      <c r="AA180">
        <v>1</v>
      </c>
      <c r="AE180" s="23">
        <f>SUM(Tabel2[[#This Row],[V 3]]*10+Tabel2[[#This Row],[GT 3]])/Tabel2[[#This Row],[AW 3]]*10+Tabel2[[#This Row],[BONUS 3]]</f>
        <v>0</v>
      </c>
      <c r="AG180">
        <v>1</v>
      </c>
      <c r="AK180" s="23">
        <f>SUM(Tabel2[[#This Row],[V 4]]*10+Tabel2[[#This Row],[GT 4]])/Tabel2[[#This Row],[AW 4]]*10+Tabel2[[#This Row],[BONUS 4]]</f>
        <v>0</v>
      </c>
      <c r="AM180">
        <v>1</v>
      </c>
      <c r="AQ180" s="23">
        <f>SUM(Tabel2[[#This Row],[V 5]]*10+Tabel2[[#This Row],[GT 5]])/Tabel2[[#This Row],[AW 5]]*10+Tabel2[[#This Row],[BONUS 5]]</f>
        <v>0</v>
      </c>
      <c r="AS180">
        <v>1</v>
      </c>
      <c r="AW180" s="23">
        <f>SUM(Tabel2[[#This Row],[V 6]]*10+Tabel2[[#This Row],[GT 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0" s="22">
        <v>1000</v>
      </c>
      <c r="BX180" s="30">
        <f>Tabel2[[#This Row],[Diploma]]-Tabel2[[#This Row],[Uitgeschreven]]</f>
        <v>0</v>
      </c>
      <c r="BY180" s="2" t="str">
        <f>IF(BX180=0,"geen actie",CONCATENATE("diploma uitschrijven: ",BV180," punten"))</f>
        <v>geen actie</v>
      </c>
      <c r="CA180" s="150">
        <f>Tabel2[[#This Row],[pnt t/m 2021/22]]</f>
        <v>1309.4029304029305</v>
      </c>
      <c r="CB180" s="150">
        <f>Tabel2[[#This Row],[pnt 2022/2023]]</f>
        <v>0</v>
      </c>
      <c r="CC180" s="150">
        <f t="shared" si="18"/>
        <v>1309.4029304029305</v>
      </c>
      <c r="CD180" s="150">
        <f>IF(Tabel2[[#This Row],[LPR 1]]&gt;0,1,0)</f>
        <v>0</v>
      </c>
      <c r="CE180" s="150">
        <f>IF(Tabel2[[#This Row],[LPR 2]]&gt;0,1,0)</f>
        <v>0</v>
      </c>
      <c r="CF180" s="150">
        <f>IF(Tabel2[[#This Row],[LPR 3]]&gt;0,1,0)</f>
        <v>0</v>
      </c>
      <c r="CG180" s="150">
        <f>IF(Tabel2[[#This Row],[LPR 4]]&gt;0,1,0)</f>
        <v>0</v>
      </c>
      <c r="CH180" s="150">
        <f>IF(Tabel2[[#This Row],[LPR 5]]&gt;0,1,0)</f>
        <v>0</v>
      </c>
      <c r="CI180" s="150">
        <f>IF(Tabel2[[#This Row],[LPR 6]]&gt;0,1,0)</f>
        <v>0</v>
      </c>
      <c r="CJ180" s="150">
        <f>IF(Tabel2[[#This Row],[LPR 7]]&gt;0,1,0)</f>
        <v>0</v>
      </c>
      <c r="CK180" s="150">
        <f>IF(Tabel2[[#This Row],[LPR 8]]&gt;0,1,0)</f>
        <v>0</v>
      </c>
      <c r="CL180" s="150">
        <f>IF(Tabel2[[#This Row],[LPR 9]]&gt;0,1,0)</f>
        <v>0</v>
      </c>
      <c r="CM180" s="150">
        <f>IF(Tabel2[[#This Row],[LPR 10]]&gt;0,1,0)</f>
        <v>0</v>
      </c>
      <c r="CN180" s="150">
        <f>SUM(Tabel7[[#This Row],[sep]:[jun]])</f>
        <v>0</v>
      </c>
      <c r="CO180" s="22" t="str">
        <f t="shared" si="13"/>
        <v/>
      </c>
      <c r="CP180" s="22" t="str">
        <f t="shared" si="14"/>
        <v/>
      </c>
      <c r="CQ180" s="22" t="str">
        <f t="shared" si="15"/>
        <v/>
      </c>
      <c r="CR180" s="22" t="str">
        <f t="shared" si="16"/>
        <v/>
      </c>
      <c r="CS180" s="22" t="str">
        <f t="shared" si="17"/>
        <v/>
      </c>
    </row>
    <row r="181" spans="1:97" x14ac:dyDescent="0.3">
      <c r="A181" s="22" t="s">
        <v>143</v>
      </c>
      <c r="B181" s="22" t="s">
        <v>778</v>
      </c>
      <c r="D181" s="22" t="s">
        <v>137</v>
      </c>
      <c r="E181" t="s">
        <v>347</v>
      </c>
      <c r="F181" s="22">
        <v>119645</v>
      </c>
      <c r="G181" s="25" t="s">
        <v>165</v>
      </c>
      <c r="H181" s="154">
        <f>Tabel2[[#This Row],[pnt t/m 2021/22]]+Tabel2[[#This Row],[pnt 2022/2023]]</f>
        <v>186.66666666666666</v>
      </c>
      <c r="I181">
        <v>2010</v>
      </c>
      <c r="J181">
        <v>2023</v>
      </c>
      <c r="K181" s="24">
        <f>Tabel2[[#This Row],[ijkdatum]]-Tabel2[[#This Row],[Geboren]]</f>
        <v>13</v>
      </c>
      <c r="L181" s="26">
        <f>Tabel2[[#This Row],[TTL 1]]+Tabel2[[#This Row],[TTL 2]]+Tabel2[[#This Row],[TTL 3]]+Tabel2[[#This Row],[TTL 4]]+Tabel2[[#This Row],[TTL 5]]+Tabel2[[#This Row],[TTL 6]]+Tabel2[[#This Row],[TTL 7]]+Tabel2[[#This Row],[TTL 8]]+Tabel2[[#This Row],[TTL 9]]+Tabel2[[#This Row],[TTL 10]]</f>
        <v>0</v>
      </c>
      <c r="M181" s="151">
        <v>186.66666666666666</v>
      </c>
      <c r="N181" s="31"/>
      <c r="O181">
        <v>1</v>
      </c>
      <c r="S181" s="27">
        <f>SUM(Tabel2[[#This Row],[V 1]]*10+Tabel2[[#This Row],[GT 1]])/Tabel2[[#This Row],[AW 1]]*10+Tabel2[[#This Row],[BONUS 1]]</f>
        <v>0</v>
      </c>
      <c r="U181">
        <v>1</v>
      </c>
      <c r="Y181" s="23">
        <f>SUM(Tabel2[[#This Row],[V 2]]*10+Tabel2[[#This Row],[GT 2]])/Tabel2[[#This Row],[AW 2]]*10+Tabel2[[#This Row],[BONUS 2]]</f>
        <v>0</v>
      </c>
      <c r="AA181">
        <v>1</v>
      </c>
      <c r="AE181" s="23">
        <f>SUM(Tabel2[[#This Row],[V 3]]*10+Tabel2[[#This Row],[GT 3]])/Tabel2[[#This Row],[AW 3]]*10+Tabel2[[#This Row],[BONUS 3]]</f>
        <v>0</v>
      </c>
      <c r="AG181">
        <v>1</v>
      </c>
      <c r="AK181" s="23">
        <f>SUM(Tabel2[[#This Row],[V 4]]*10+Tabel2[[#This Row],[GT 4]])/Tabel2[[#This Row],[AW 4]]*10+Tabel2[[#This Row],[BONUS 4]]</f>
        <v>0</v>
      </c>
      <c r="AM181">
        <v>1</v>
      </c>
      <c r="AQ181" s="23">
        <f>SUM(Tabel2[[#This Row],[V 5]]*10+Tabel2[[#This Row],[GT 5]])/Tabel2[[#This Row],[AW 5]]*10+Tabel2[[#This Row],[BONUS 5]]</f>
        <v>0</v>
      </c>
      <c r="AS181">
        <v>1</v>
      </c>
      <c r="AW181" s="23">
        <f>SUM(Tabel2[[#This Row],[V 6]]*10+Tabel2[[#This Row],[GT 6]])/Tabel2[[#This Row],[AW 6]]*10+Tabel2[[#This Row],[BONUS 6]]</f>
        <v>0</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1" s="22">
        <v>0</v>
      </c>
      <c r="BX181" s="30">
        <f>Tabel2[[#This Row],[Diploma]]-Tabel2[[#This Row],[Uitgeschreven]]</f>
        <v>0</v>
      </c>
      <c r="BY181" s="2" t="str">
        <f>IF(BX181=0,"geen actie",CONCATENATE("diploma uitschrijven: ",BV181," punten"))</f>
        <v>geen actie</v>
      </c>
      <c r="CA181" s="150">
        <f>Tabel2[[#This Row],[pnt t/m 2021/22]]</f>
        <v>186.66666666666666</v>
      </c>
      <c r="CB181" s="150">
        <f>Tabel2[[#This Row],[pnt 2022/2023]]</f>
        <v>0</v>
      </c>
      <c r="CC181" s="150">
        <f t="shared" si="18"/>
        <v>186.66666666666666</v>
      </c>
      <c r="CD181" s="150">
        <f>IF(Tabel2[[#This Row],[LPR 1]]&gt;0,1,0)</f>
        <v>0</v>
      </c>
      <c r="CE181" s="150">
        <f>IF(Tabel2[[#This Row],[LPR 2]]&gt;0,1,0)</f>
        <v>0</v>
      </c>
      <c r="CF181" s="150">
        <f>IF(Tabel2[[#This Row],[LPR 3]]&gt;0,1,0)</f>
        <v>0</v>
      </c>
      <c r="CG181" s="150">
        <f>IF(Tabel2[[#This Row],[LPR 4]]&gt;0,1,0)</f>
        <v>0</v>
      </c>
      <c r="CH181" s="150">
        <f>IF(Tabel2[[#This Row],[LPR 5]]&gt;0,1,0)</f>
        <v>0</v>
      </c>
      <c r="CI181" s="150">
        <f>IF(Tabel2[[#This Row],[LPR 6]]&gt;0,1,0)</f>
        <v>0</v>
      </c>
      <c r="CJ181" s="150">
        <f>IF(Tabel2[[#This Row],[LPR 7]]&gt;0,1,0)</f>
        <v>0</v>
      </c>
      <c r="CK181" s="150">
        <f>IF(Tabel2[[#This Row],[LPR 8]]&gt;0,1,0)</f>
        <v>0</v>
      </c>
      <c r="CL181" s="150">
        <f>IF(Tabel2[[#This Row],[LPR 9]]&gt;0,1,0)</f>
        <v>0</v>
      </c>
      <c r="CM181" s="150">
        <f>IF(Tabel2[[#This Row],[LPR 10]]&gt;0,1,0)</f>
        <v>0</v>
      </c>
      <c r="CN181" s="150">
        <f>SUM(Tabel7[[#This Row],[sep]:[jun]])</f>
        <v>0</v>
      </c>
      <c r="CO181" s="22" t="str">
        <f t="shared" si="13"/>
        <v/>
      </c>
      <c r="CP181" s="22" t="str">
        <f t="shared" si="14"/>
        <v/>
      </c>
      <c r="CQ181" s="22" t="str">
        <f t="shared" si="15"/>
        <v/>
      </c>
      <c r="CR181" s="22" t="str">
        <f t="shared" si="16"/>
        <v/>
      </c>
      <c r="CS181" s="22" t="str">
        <f t="shared" si="17"/>
        <v/>
      </c>
    </row>
    <row r="182" spans="1:97" x14ac:dyDescent="0.3">
      <c r="A182" s="22" t="s">
        <v>143</v>
      </c>
      <c r="B182" s="22" t="s">
        <v>778</v>
      </c>
      <c r="D182" s="22" t="s">
        <v>784</v>
      </c>
      <c r="E182" t="s">
        <v>348</v>
      </c>
      <c r="F182" s="22">
        <v>119709</v>
      </c>
      <c r="G182" s="25" t="s">
        <v>151</v>
      </c>
      <c r="H182" s="154">
        <f>Tabel2[[#This Row],[pnt t/m 2021/22]]+Tabel2[[#This Row],[pnt 2022/2023]]</f>
        <v>362.52777777777771</v>
      </c>
      <c r="I182">
        <v>2008</v>
      </c>
      <c r="J182">
        <v>2023</v>
      </c>
      <c r="K182" s="24">
        <f>Tabel2[[#This Row],[ijkdatum]]-Tabel2[[#This Row],[Geboren]]</f>
        <v>15</v>
      </c>
      <c r="L182" s="26">
        <f>Tabel2[[#This Row],[TTL 1]]+Tabel2[[#This Row],[TTL 2]]+Tabel2[[#This Row],[TTL 3]]+Tabel2[[#This Row],[TTL 4]]+Tabel2[[#This Row],[TTL 5]]+Tabel2[[#This Row],[TTL 6]]+Tabel2[[#This Row],[TTL 7]]+Tabel2[[#This Row],[TTL 8]]+Tabel2[[#This Row],[TTL 9]]+Tabel2[[#This Row],[TTL 10]]</f>
        <v>72.5</v>
      </c>
      <c r="M182" s="151">
        <v>290.02777777777771</v>
      </c>
      <c r="N182" s="31">
        <v>5</v>
      </c>
      <c r="O182">
        <v>8</v>
      </c>
      <c r="P182">
        <v>3</v>
      </c>
      <c r="Q182">
        <v>28</v>
      </c>
      <c r="S182" s="27">
        <f>SUM(Tabel2[[#This Row],[V 1]]*10+Tabel2[[#This Row],[GT 1]])/Tabel2[[#This Row],[AW 1]]*10+Tabel2[[#This Row],[BONUS 1]]</f>
        <v>72.5</v>
      </c>
      <c r="U182">
        <v>1</v>
      </c>
      <c r="Y182" s="23">
        <f>SUM(Tabel2[[#This Row],[V 2]]*10+Tabel2[[#This Row],[GT 2]])/Tabel2[[#This Row],[AW 2]]*10+Tabel2[[#This Row],[BONUS 2]]</f>
        <v>0</v>
      </c>
      <c r="AA182">
        <v>1</v>
      </c>
      <c r="AE182" s="23">
        <f>SUM(Tabel2[[#This Row],[V 3]]*10+Tabel2[[#This Row],[GT 3]])/Tabel2[[#This Row],[AW 3]]*10+Tabel2[[#This Row],[BONUS 3]]</f>
        <v>0</v>
      </c>
      <c r="AG182">
        <v>1</v>
      </c>
      <c r="AK182" s="23">
        <f>SUM(Tabel2[[#This Row],[V 4]]*10+Tabel2[[#This Row],[GT 4]])/Tabel2[[#This Row],[AW 4]]*10+Tabel2[[#This Row],[BONUS 4]]</f>
        <v>0</v>
      </c>
      <c r="AM182">
        <v>1</v>
      </c>
      <c r="AQ182" s="23">
        <f>SUM(Tabel2[[#This Row],[V 5]]*10+Tabel2[[#This Row],[GT 5]])/Tabel2[[#This Row],[AW 5]]*10+Tabel2[[#This Row],[BONUS 5]]</f>
        <v>0</v>
      </c>
      <c r="AS182">
        <v>1</v>
      </c>
      <c r="AW182" s="23">
        <f>SUM(Tabel2[[#This Row],[V 6]]*10+Tabel2[[#This Row],[GT 6]])/Tabel2[[#This Row],[AW 6]]*10+Tabel2[[#This Row],[BONUS 6]]</f>
        <v>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2" s="22">
        <v>250</v>
      </c>
      <c r="BX182" s="30">
        <f>Tabel2[[#This Row],[Diploma]]-Tabel2[[#This Row],[Uitgeschreven]]</f>
        <v>0</v>
      </c>
      <c r="BY182" s="2" t="str">
        <f>IF(BX182=0,"geen actie",CONCATENATE("diploma uitschrijven: ",BV182," punten"))</f>
        <v>geen actie</v>
      </c>
      <c r="CA182" s="150">
        <f>Tabel2[[#This Row],[pnt t/m 2021/22]]</f>
        <v>290.02777777777771</v>
      </c>
      <c r="CB182" s="150">
        <f>Tabel2[[#This Row],[pnt 2022/2023]]</f>
        <v>72.5</v>
      </c>
      <c r="CC182" s="150">
        <f t="shared" si="18"/>
        <v>362.52777777777771</v>
      </c>
      <c r="CD182" s="150">
        <f>IF(Tabel2[[#This Row],[LPR 1]]&gt;0,1,0)</f>
        <v>1</v>
      </c>
      <c r="CE182" s="150">
        <f>IF(Tabel2[[#This Row],[LPR 2]]&gt;0,1,0)</f>
        <v>0</v>
      </c>
      <c r="CF182" s="150">
        <f>IF(Tabel2[[#This Row],[LPR 3]]&gt;0,1,0)</f>
        <v>0</v>
      </c>
      <c r="CG182" s="150">
        <f>IF(Tabel2[[#This Row],[LPR 4]]&gt;0,1,0)</f>
        <v>0</v>
      </c>
      <c r="CH182" s="150">
        <f>IF(Tabel2[[#This Row],[LPR 5]]&gt;0,1,0)</f>
        <v>0</v>
      </c>
      <c r="CI182" s="150">
        <f>IF(Tabel2[[#This Row],[LPR 6]]&gt;0,1,0)</f>
        <v>0</v>
      </c>
      <c r="CJ182" s="150">
        <f>IF(Tabel2[[#This Row],[LPR 7]]&gt;0,1,0)</f>
        <v>0</v>
      </c>
      <c r="CK182" s="150">
        <f>IF(Tabel2[[#This Row],[LPR 8]]&gt;0,1,0)</f>
        <v>0</v>
      </c>
      <c r="CL182" s="150">
        <f>IF(Tabel2[[#This Row],[LPR 9]]&gt;0,1,0)</f>
        <v>0</v>
      </c>
      <c r="CM182" s="150">
        <f>IF(Tabel2[[#This Row],[LPR 10]]&gt;0,1,0)</f>
        <v>0</v>
      </c>
      <c r="CN182" s="150">
        <f>SUM(Tabel7[[#This Row],[sep]:[jun]])</f>
        <v>1</v>
      </c>
      <c r="CO182" s="22" t="str">
        <f t="shared" si="13"/>
        <v/>
      </c>
      <c r="CP182" s="22" t="str">
        <f t="shared" si="14"/>
        <v/>
      </c>
      <c r="CQ182" s="22" t="str">
        <f t="shared" si="15"/>
        <v/>
      </c>
      <c r="CR182" s="22" t="str">
        <f t="shared" si="16"/>
        <v/>
      </c>
      <c r="CS182" s="22" t="str">
        <f t="shared" si="17"/>
        <v/>
      </c>
    </row>
    <row r="183" spans="1:97" x14ac:dyDescent="0.3">
      <c r="A183" s="22" t="s">
        <v>143</v>
      </c>
      <c r="B183" s="22" t="s">
        <v>779</v>
      </c>
      <c r="D183" s="22" t="s">
        <v>137</v>
      </c>
      <c r="E183" t="s">
        <v>787</v>
      </c>
      <c r="F183" s="22">
        <v>119842</v>
      </c>
      <c r="G183" s="25" t="s">
        <v>788</v>
      </c>
      <c r="H183" s="27">
        <f>Tabel2[[#This Row],[pnt t/m 2021/22]]+Tabel2[[#This Row],[pnt 2022/2023]]</f>
        <v>72.5</v>
      </c>
      <c r="I183">
        <v>2008</v>
      </c>
      <c r="J183">
        <v>2023</v>
      </c>
      <c r="K183" s="24">
        <f>Tabel2[[#This Row],[ijkdatum]]-Tabel2[[#This Row],[Geboren]]</f>
        <v>15</v>
      </c>
      <c r="L183" s="26">
        <f>Tabel2[[#This Row],[TTL 1]]+Tabel2[[#This Row],[TTL 2]]+Tabel2[[#This Row],[TTL 3]]+Tabel2[[#This Row],[TTL 4]]+Tabel2[[#This Row],[TTL 5]]+Tabel2[[#This Row],[TTL 6]]+Tabel2[[#This Row],[TTL 7]]+Tabel2[[#This Row],[TTL 8]]+Tabel2[[#This Row],[TTL 9]]+Tabel2[[#This Row],[TTL 10]]</f>
        <v>72.5</v>
      </c>
      <c r="M183" s="157"/>
      <c r="N183" s="31"/>
      <c r="O183">
        <v>1</v>
      </c>
      <c r="S183" s="157">
        <f>SUM(Tabel2[[#This Row],[V 1]]*10+Tabel2[[#This Row],[GT 1]])/Tabel2[[#This Row],[AW 1]]*10+Tabel2[[#This Row],[BONUS 1]]</f>
        <v>0</v>
      </c>
      <c r="T183">
        <v>4</v>
      </c>
      <c r="U183">
        <v>12</v>
      </c>
      <c r="V183">
        <v>4</v>
      </c>
      <c r="W183">
        <v>47</v>
      </c>
      <c r="Y183" s="153">
        <f>SUM(Tabel2[[#This Row],[V 2]]*10+Tabel2[[#This Row],[GT 2]])/Tabel2[[#This Row],[AW 2]]*10+Tabel2[[#This Row],[BONUS 2]]</f>
        <v>72.5</v>
      </c>
      <c r="AA183">
        <v>1</v>
      </c>
      <c r="AE183" s="153">
        <f>SUM(Tabel2[[#This Row],[V 3]]*10+Tabel2[[#This Row],[GT 3]])/Tabel2[[#This Row],[AW 3]]*10+Tabel2[[#This Row],[BONUS 3]]</f>
        <v>0</v>
      </c>
      <c r="AG183">
        <v>1</v>
      </c>
      <c r="AK183" s="153">
        <f>SUM(Tabel2[[#This Row],[V 4]]*10+Tabel2[[#This Row],[GT 4]])/Tabel2[[#This Row],[AW 4]]*10+Tabel2[[#This Row],[BONUS 4]]</f>
        <v>0</v>
      </c>
      <c r="AM183">
        <v>1</v>
      </c>
      <c r="AQ183" s="153">
        <f>SUM(Tabel2[[#This Row],[V 5]]*10+Tabel2[[#This Row],[GT 5]])/Tabel2[[#This Row],[AW 5]]*10+Tabel2[[#This Row],[BONUS 5]]</f>
        <v>0</v>
      </c>
      <c r="AS183">
        <v>1</v>
      </c>
      <c r="AW183" s="153">
        <f>SUM(Tabel2[[#This Row],[V 6]]*10+Tabel2[[#This Row],[GT 6]])/Tabel2[[#This Row],[AW 6]]*10+Tabel2[[#This Row],[BONUS 6]]</f>
        <v>0</v>
      </c>
      <c r="AY183">
        <v>1</v>
      </c>
      <c r="BC183" s="153">
        <f>SUM(Tabel2[[#This Row],[V 7]]*10+Tabel2[[#This Row],[GT 7]])/Tabel2[[#This Row],[AW 7]]*10+Tabel2[[#This Row],[BONUS 7]]</f>
        <v>0</v>
      </c>
      <c r="BE183">
        <v>1</v>
      </c>
      <c r="BI183" s="153">
        <f>SUM(Tabel2[[#This Row],[V 8]]*10+Tabel2[[#This Row],[GT 8]])/Tabel2[[#This Row],[AW 8]]*10+Tabel2[[#This Row],[BONUS 8]]</f>
        <v>0</v>
      </c>
      <c r="BK183">
        <v>1</v>
      </c>
      <c r="BO183" s="153">
        <f>SUM(Tabel2[[#This Row],[V 9]]*10+Tabel2[[#This Row],[GT 9]])/Tabel2[[#This Row],[AW 9]]*10+Tabel2[[#This Row],[BONUS 9]]</f>
        <v>0</v>
      </c>
      <c r="BQ183">
        <v>1</v>
      </c>
      <c r="BU183" s="23">
        <f>SUM(Tabel2[[#This Row],[V 10]]*10+Tabel2[[#This Row],[GT 10]])/Tabel2[[#This Row],[AW 10]]*10+Tabel2[[#This Row],[BONUS 10]]</f>
        <v>0</v>
      </c>
      <c r="BV18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22">
        <f>Tabel2[[#This Row],[Diploma]]-Tabel2[[#This Row],[Uitgeschreven]]</f>
        <v>0</v>
      </c>
      <c r="BY183" s="155" t="str">
        <f>IF(BX183=0,"geen actie",CONCATENATE("diploma uitschrijven: ",BV183," punten"))</f>
        <v>geen actie</v>
      </c>
      <c r="CA183" s="150">
        <f>Tabel2[[#This Row],[pnt t/m 2021/22]]</f>
        <v>0</v>
      </c>
      <c r="CB183" s="150">
        <f>Tabel2[[#This Row],[pnt 2022/2023]]</f>
        <v>72.5</v>
      </c>
      <c r="CC183" s="150">
        <f t="shared" si="18"/>
        <v>72.5</v>
      </c>
      <c r="CD183" s="150">
        <f>IF(Tabel2[[#This Row],[LPR 1]]&gt;0,1,0)</f>
        <v>0</v>
      </c>
      <c r="CE183" s="150">
        <f>IF(Tabel2[[#This Row],[LPR 2]]&gt;0,1,0)</f>
        <v>1</v>
      </c>
      <c r="CF183" s="150">
        <f>IF(Tabel2[[#This Row],[LPR 3]]&gt;0,1,0)</f>
        <v>0</v>
      </c>
      <c r="CG183" s="150">
        <f>IF(Tabel2[[#This Row],[LPR 4]]&gt;0,1,0)</f>
        <v>0</v>
      </c>
      <c r="CH183" s="150">
        <f>IF(Tabel2[[#This Row],[LPR 5]]&gt;0,1,0)</f>
        <v>0</v>
      </c>
      <c r="CI183" s="150">
        <f>IF(Tabel2[[#This Row],[LPR 6]]&gt;0,1,0)</f>
        <v>0</v>
      </c>
      <c r="CJ183" s="150">
        <f>IF(Tabel2[[#This Row],[LPR 7]]&gt;0,1,0)</f>
        <v>0</v>
      </c>
      <c r="CK183" s="150">
        <f>IF(Tabel2[[#This Row],[LPR 8]]&gt;0,1,0)</f>
        <v>0</v>
      </c>
      <c r="CL183" s="150">
        <f>IF(Tabel2[[#This Row],[LPR 9]]&gt;0,1,0)</f>
        <v>0</v>
      </c>
      <c r="CM183" s="150">
        <f>IF(Tabel2[[#This Row],[LPR 10]]&gt;0,1,0)</f>
        <v>0</v>
      </c>
      <c r="CN183" s="150">
        <f>SUM(Tabel7[[#This Row],[sep]:[jun]])</f>
        <v>1</v>
      </c>
      <c r="CO183" s="22" t="str">
        <f t="shared" si="13"/>
        <v/>
      </c>
      <c r="CP183" s="22" t="str">
        <f t="shared" si="14"/>
        <v/>
      </c>
      <c r="CQ183" s="22" t="str">
        <f t="shared" si="15"/>
        <v/>
      </c>
      <c r="CR183" s="22" t="str">
        <f t="shared" si="16"/>
        <v/>
      </c>
      <c r="CS183" s="22" t="str">
        <f t="shared" si="17"/>
        <v/>
      </c>
    </row>
    <row r="184" spans="1:97" x14ac:dyDescent="0.3">
      <c r="A184" s="22" t="s">
        <v>143</v>
      </c>
      <c r="B184" s="22" t="s">
        <v>779</v>
      </c>
      <c r="D184" s="22" t="s">
        <v>137</v>
      </c>
      <c r="E184" t="s">
        <v>349</v>
      </c>
      <c r="F184" s="22">
        <v>120111</v>
      </c>
      <c r="G184" s="25" t="s">
        <v>330</v>
      </c>
      <c r="H184" s="154">
        <f>Tabel2[[#This Row],[pnt t/m 2021/22]]+Tabel2[[#This Row],[pnt 2022/2023]]</f>
        <v>183.16666666666666</v>
      </c>
      <c r="I184">
        <v>2008</v>
      </c>
      <c r="J184">
        <v>2023</v>
      </c>
      <c r="K184" s="24">
        <f>Tabel2[[#This Row],[ijkdatum]]-Tabel2[[#This Row],[Geboren]]</f>
        <v>15</v>
      </c>
      <c r="L184" s="26">
        <f>Tabel2[[#This Row],[TTL 1]]+Tabel2[[#This Row],[TTL 2]]+Tabel2[[#This Row],[TTL 3]]+Tabel2[[#This Row],[TTL 4]]+Tabel2[[#This Row],[TTL 5]]+Tabel2[[#This Row],[TTL 6]]+Tabel2[[#This Row],[TTL 7]]+Tabel2[[#This Row],[TTL 8]]+Tabel2[[#This Row],[TTL 9]]+Tabel2[[#This Row],[TTL 10]]</f>
        <v>0</v>
      </c>
      <c r="M184" s="151">
        <v>183.16666666666666</v>
      </c>
      <c r="N184" s="31"/>
      <c r="O184">
        <v>1</v>
      </c>
      <c r="S184" s="27">
        <f>SUM(Tabel2[[#This Row],[V 1]]*10+Tabel2[[#This Row],[GT 1]])/Tabel2[[#This Row],[AW 1]]*10+Tabel2[[#This Row],[BONUS 1]]</f>
        <v>0</v>
      </c>
      <c r="U184">
        <v>1</v>
      </c>
      <c r="Y184" s="23">
        <f>SUM(Tabel2[[#This Row],[V 2]]*10+Tabel2[[#This Row],[GT 2]])/Tabel2[[#This Row],[AW 2]]*10+Tabel2[[#This Row],[BONUS 2]]</f>
        <v>0</v>
      </c>
      <c r="AA184">
        <v>1</v>
      </c>
      <c r="AE184" s="23">
        <f>SUM(Tabel2[[#This Row],[V 3]]*10+Tabel2[[#This Row],[GT 3]])/Tabel2[[#This Row],[AW 3]]*10+Tabel2[[#This Row],[BONUS 3]]</f>
        <v>0</v>
      </c>
      <c r="AG184">
        <v>1</v>
      </c>
      <c r="AK184" s="23">
        <f>SUM(Tabel2[[#This Row],[V 4]]*10+Tabel2[[#This Row],[GT 4]])/Tabel2[[#This Row],[AW 4]]*10+Tabel2[[#This Row],[BONUS 4]]</f>
        <v>0</v>
      </c>
      <c r="AM184">
        <v>1</v>
      </c>
      <c r="AQ184" s="23">
        <f>SUM(Tabel2[[#This Row],[V 5]]*10+Tabel2[[#This Row],[GT 5]])/Tabel2[[#This Row],[AW 5]]*10+Tabel2[[#This Row],[BONUS 5]]</f>
        <v>0</v>
      </c>
      <c r="AS184">
        <v>1</v>
      </c>
      <c r="AW184" s="23">
        <f>SUM(Tabel2[[#This Row],[V 6]]*10+Tabel2[[#This Row],[GT 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4" s="22">
        <v>0</v>
      </c>
      <c r="BX184" s="30">
        <f>Tabel2[[#This Row],[Diploma]]-Tabel2[[#This Row],[Uitgeschreven]]</f>
        <v>0</v>
      </c>
      <c r="BY184" s="2" t="str">
        <f>IF(BX184=0,"geen actie",CONCATENATE("diploma uitschrijven: ",BV184," punten"))</f>
        <v>geen actie</v>
      </c>
      <c r="CA184" s="150">
        <f>Tabel2[[#This Row],[pnt t/m 2021/22]]</f>
        <v>183.16666666666666</v>
      </c>
      <c r="CB184" s="150">
        <f>Tabel2[[#This Row],[pnt 2022/2023]]</f>
        <v>0</v>
      </c>
      <c r="CC184" s="150">
        <f t="shared" si="18"/>
        <v>183.16666666666666</v>
      </c>
      <c r="CD184" s="150">
        <f>IF(Tabel2[[#This Row],[LPR 1]]&gt;0,1,0)</f>
        <v>0</v>
      </c>
      <c r="CE184" s="150">
        <f>IF(Tabel2[[#This Row],[LPR 2]]&gt;0,1,0)</f>
        <v>0</v>
      </c>
      <c r="CF184" s="150">
        <f>IF(Tabel2[[#This Row],[LPR 3]]&gt;0,1,0)</f>
        <v>0</v>
      </c>
      <c r="CG184" s="150">
        <f>IF(Tabel2[[#This Row],[LPR 4]]&gt;0,1,0)</f>
        <v>0</v>
      </c>
      <c r="CH184" s="150">
        <f>IF(Tabel2[[#This Row],[LPR 5]]&gt;0,1,0)</f>
        <v>0</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0</v>
      </c>
      <c r="CO184" s="22" t="str">
        <f t="shared" si="13"/>
        <v/>
      </c>
      <c r="CP184" s="22" t="str">
        <f t="shared" si="14"/>
        <v/>
      </c>
      <c r="CQ184" s="22" t="str">
        <f t="shared" si="15"/>
        <v/>
      </c>
      <c r="CR184" s="22" t="str">
        <f t="shared" si="16"/>
        <v/>
      </c>
      <c r="CS184" s="22" t="str">
        <f t="shared" si="17"/>
        <v/>
      </c>
    </row>
    <row r="185" spans="1:97" x14ac:dyDescent="0.3">
      <c r="A185" s="22" t="s">
        <v>153</v>
      </c>
      <c r="B185" s="22" t="s">
        <v>778</v>
      </c>
      <c r="D185" s="22" t="s">
        <v>783</v>
      </c>
      <c r="E185" t="s">
        <v>350</v>
      </c>
      <c r="F185" s="22">
        <v>119318</v>
      </c>
      <c r="G185" s="25" t="s">
        <v>139</v>
      </c>
      <c r="H185" s="238">
        <f>Tabel2[[#This Row],[pnt t/m 2021/22]]+Tabel2[[#This Row],[pnt 2022/2023]]</f>
        <v>1579.3452380952381</v>
      </c>
      <c r="I185">
        <v>2012</v>
      </c>
      <c r="J185">
        <v>2023</v>
      </c>
      <c r="K185" s="24">
        <f>Tabel2[[#This Row],[ijkdatum]]-Tabel2[[#This Row],[Geboren]]</f>
        <v>11</v>
      </c>
      <c r="L185" s="26">
        <f>Tabel2[[#This Row],[TTL 1]]+Tabel2[[#This Row],[TTL 2]]+Tabel2[[#This Row],[TTL 3]]+Tabel2[[#This Row],[TTL 4]]+Tabel2[[#This Row],[TTL 5]]+Tabel2[[#This Row],[TTL 6]]+Tabel2[[#This Row],[TTL 7]]+Tabel2[[#This Row],[TTL 8]]+Tabel2[[#This Row],[TTL 9]]+Tabel2[[#This Row],[TTL 10]]</f>
        <v>150</v>
      </c>
      <c r="M185" s="151">
        <v>1429.3452380952381</v>
      </c>
      <c r="N185" s="31">
        <v>4</v>
      </c>
      <c r="O185">
        <v>9</v>
      </c>
      <c r="P185">
        <v>9</v>
      </c>
      <c r="Q185">
        <v>45</v>
      </c>
      <c r="S185" s="27">
        <f>SUM(Tabel2[[#This Row],[V 1]]*10+Tabel2[[#This Row],[GT 1]])/Tabel2[[#This Row],[AW 1]]*10+Tabel2[[#This Row],[BONUS 1]]</f>
        <v>150</v>
      </c>
      <c r="U185">
        <v>1</v>
      </c>
      <c r="Y185" s="23">
        <f>SUM(Tabel2[[#This Row],[V 2]]*10+Tabel2[[#This Row],[GT 2]])/Tabel2[[#This Row],[AW 2]]*10+Tabel2[[#This Row],[BONUS 2]]</f>
        <v>0</v>
      </c>
      <c r="AA185">
        <v>1</v>
      </c>
      <c r="AE185" s="23">
        <f>SUM(Tabel2[[#This Row],[V 3]]*10+Tabel2[[#This Row],[GT 3]])/Tabel2[[#This Row],[AW 3]]*10+Tabel2[[#This Row],[BONUS 3]]</f>
        <v>0</v>
      </c>
      <c r="AG185">
        <v>1</v>
      </c>
      <c r="AK185" s="23">
        <f>SUM(Tabel2[[#This Row],[V 4]]*10+Tabel2[[#This Row],[GT 4]])/Tabel2[[#This Row],[AW 4]]*10+Tabel2[[#This Row],[BONUS 4]]</f>
        <v>0</v>
      </c>
      <c r="AM185">
        <v>1</v>
      </c>
      <c r="AQ185" s="23">
        <f>SUM(Tabel2[[#This Row],[V 5]]*10+Tabel2[[#This Row],[GT 5]])/Tabel2[[#This Row],[AW 5]]*10+Tabel2[[#This Row],[BONUS 5]]</f>
        <v>0</v>
      </c>
      <c r="AS185">
        <v>1</v>
      </c>
      <c r="AW185" s="23">
        <f>SUM(Tabel2[[#This Row],[V 6]]*10+Tabel2[[#This Row],[GT 6]])/Tabel2[[#This Row],[AW 6]]*10+Tabel2[[#This Row],[BONUS 6]]</f>
        <v>0</v>
      </c>
      <c r="AY185">
        <v>1</v>
      </c>
      <c r="BC185" s="23">
        <f>SUM(Tabel2[[#This Row],[V 7]]*10+Tabel2[[#This Row],[GT 7]])/Tabel2[[#This Row],[AW 7]]*10+Tabel2[[#This Row],[BONUS 7]]</f>
        <v>0</v>
      </c>
      <c r="BE185">
        <v>1</v>
      </c>
      <c r="BI185" s="23">
        <f>SUM(Tabel2[[#This Row],[V 8]]*10+Tabel2[[#This Row],[GT 8]])/Tabel2[[#This Row],[AW 8]]*10+Tabel2[[#This Row],[BONUS 8]]</f>
        <v>0</v>
      </c>
      <c r="BK185">
        <v>1</v>
      </c>
      <c r="BO185" s="23">
        <f>SUM(Tabel2[[#This Row],[V 9]]*10+Tabel2[[#This Row],[GT 9]])/Tabel2[[#This Row],[AW 9]]*10+Tabel2[[#This Row],[BONUS 9]]</f>
        <v>0</v>
      </c>
      <c r="BQ185">
        <v>1</v>
      </c>
      <c r="BU185" s="23">
        <f>SUM(Tabel2[[#This Row],[V 10]]*10+Tabel2[[#This Row],[GT 10]])/Tabel2[[#This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85" s="22">
        <v>1500</v>
      </c>
      <c r="BX185" s="30">
        <f>Tabel2[[#This Row],[Diploma]]-Tabel2[[#This Row],[Uitgeschreven]]</f>
        <v>0</v>
      </c>
      <c r="BY185" s="2" t="str">
        <f>IF(BX185=0,"geen actie",CONCATENATE("diploma uitschrijven: ",BV185," punten"))</f>
        <v>geen actie</v>
      </c>
      <c r="CA185" s="150">
        <f>Tabel2[[#This Row],[pnt t/m 2021/22]]</f>
        <v>1429.3452380952381</v>
      </c>
      <c r="CB185" s="150">
        <f>Tabel2[[#This Row],[pnt 2022/2023]]</f>
        <v>150</v>
      </c>
      <c r="CC185" s="150">
        <f t="shared" si="18"/>
        <v>1579.3452380952381</v>
      </c>
      <c r="CD185" s="150">
        <f>IF(Tabel2[[#This Row],[LPR 1]]&gt;0,1,0)</f>
        <v>1</v>
      </c>
      <c r="CE185" s="150">
        <f>IF(Tabel2[[#This Row],[LPR 2]]&gt;0,1,0)</f>
        <v>0</v>
      </c>
      <c r="CF185" s="150">
        <f>IF(Tabel2[[#This Row],[LPR 3]]&gt;0,1,0)</f>
        <v>0</v>
      </c>
      <c r="CG185" s="150">
        <f>IF(Tabel2[[#This Row],[LPR 4]]&gt;0,1,0)</f>
        <v>0</v>
      </c>
      <c r="CH185" s="150">
        <f>IF(Tabel2[[#This Row],[LPR 5]]&gt;0,1,0)</f>
        <v>0</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1</v>
      </c>
      <c r="CO185" s="22" t="str">
        <f t="shared" si="13"/>
        <v/>
      </c>
      <c r="CP185" s="22" t="str">
        <f t="shared" si="14"/>
        <v>x</v>
      </c>
      <c r="CQ185" s="22" t="str">
        <f t="shared" si="15"/>
        <v/>
      </c>
      <c r="CR185" s="22" t="str">
        <f t="shared" si="16"/>
        <v/>
      </c>
      <c r="CS185" s="22" t="str">
        <f t="shared" si="17"/>
        <v/>
      </c>
    </row>
    <row r="186" spans="1:97" x14ac:dyDescent="0.3">
      <c r="A186" s="22" t="s">
        <v>140</v>
      </c>
      <c r="B186" s="22" t="s">
        <v>779</v>
      </c>
      <c r="D186" s="22" t="s">
        <v>137</v>
      </c>
      <c r="E186" t="s">
        <v>351</v>
      </c>
      <c r="F186" s="22">
        <v>120727</v>
      </c>
      <c r="G186" s="25" t="s">
        <v>151</v>
      </c>
      <c r="H186" s="27">
        <f>Tabel2[[#This Row],[pnt t/m 2021/22]]+Tabel2[[#This Row],[pnt 2022/2023]]</f>
        <v>131.8095238095238</v>
      </c>
      <c r="I186">
        <v>2011</v>
      </c>
      <c r="J186">
        <v>2023</v>
      </c>
      <c r="K186" s="24">
        <f>Tabel2[[#This Row],[ijkdatum]]-Tabel2[[#This Row],[Geboren]]</f>
        <v>12</v>
      </c>
      <c r="L186" s="26">
        <f>Tabel2[[#This Row],[TTL 1]]+Tabel2[[#This Row],[TTL 2]]+Tabel2[[#This Row],[TTL 3]]+Tabel2[[#This Row],[TTL 4]]+Tabel2[[#This Row],[TTL 5]]+Tabel2[[#This Row],[TTL 6]]+Tabel2[[#This Row],[TTL 7]]+Tabel2[[#This Row],[TTL 8]]+Tabel2[[#This Row],[TTL 9]]+Tabel2[[#This Row],[TTL 10]]</f>
        <v>27.142857142857146</v>
      </c>
      <c r="M186" s="157">
        <v>104.66666666666666</v>
      </c>
      <c r="N186" s="31"/>
      <c r="O186">
        <v>1</v>
      </c>
      <c r="S186" s="157">
        <f>SUM(Tabel2[[#This Row],[V 1]]*10+Tabel2[[#This Row],[GT 1]])/Tabel2[[#This Row],[AW 1]]*10+Tabel2[[#This Row],[BONUS 1]]</f>
        <v>0</v>
      </c>
      <c r="T186">
        <v>7</v>
      </c>
      <c r="U186">
        <v>7</v>
      </c>
      <c r="V186">
        <v>1</v>
      </c>
      <c r="W186">
        <v>9</v>
      </c>
      <c r="Y186" s="153">
        <f>SUM(Tabel2[[#This Row],[V 2]]*10+Tabel2[[#This Row],[GT 2]])/Tabel2[[#This Row],[AW 2]]*10+Tabel2[[#This Row],[BONUS 2]]</f>
        <v>27.142857142857146</v>
      </c>
      <c r="AA186">
        <v>1</v>
      </c>
      <c r="AE186" s="153">
        <f>SUM(Tabel2[[#This Row],[V 3]]*10+Tabel2[[#This Row],[GT 3]])/Tabel2[[#This Row],[AW 3]]*10+Tabel2[[#This Row],[BONUS 3]]</f>
        <v>0</v>
      </c>
      <c r="AG186">
        <v>1</v>
      </c>
      <c r="AK186" s="153">
        <f>SUM(Tabel2[[#This Row],[V 4]]*10+Tabel2[[#This Row],[GT 4]])/Tabel2[[#This Row],[AW 4]]*10+Tabel2[[#This Row],[BONUS 4]]</f>
        <v>0</v>
      </c>
      <c r="AM186">
        <v>1</v>
      </c>
      <c r="AQ186" s="153">
        <f>SUM(Tabel2[[#This Row],[V 5]]*10+Tabel2[[#This Row],[GT 5]])/Tabel2[[#This Row],[AW 5]]*10+Tabel2[[#This Row],[BONUS 5]]</f>
        <v>0</v>
      </c>
      <c r="AS186">
        <v>1</v>
      </c>
      <c r="AW186" s="153">
        <f>SUM(Tabel2[[#This Row],[V 6]]*10+Tabel2[[#This Row],[GT 6]])/Tabel2[[#This Row],[AW 6]]*10+Tabel2[[#This Row],[BONUS 6]]</f>
        <v>0</v>
      </c>
      <c r="AY186">
        <v>1</v>
      </c>
      <c r="BC186" s="153">
        <f>SUM(Tabel2[[#This Row],[V 7]]*10+Tabel2[[#This Row],[GT 7]])/Tabel2[[#This Row],[AW 7]]*10+Tabel2[[#This Row],[BONUS 7]]</f>
        <v>0</v>
      </c>
      <c r="BE186">
        <v>1</v>
      </c>
      <c r="BI186" s="153">
        <f>SUM(Tabel2[[#This Row],[V 8]]*10+Tabel2[[#This Row],[GT 8]])/Tabel2[[#This Row],[AW 8]]*10+Tabel2[[#This Row],[BONUS 8]]</f>
        <v>0</v>
      </c>
      <c r="BK186">
        <v>1</v>
      </c>
      <c r="BO186" s="153">
        <f>SUM(Tabel2[[#This Row],[V 9]]*10+Tabel2[[#This Row],[GT 9]])/Tabel2[[#This Row],[AW 9]]*10+Tabel2[[#This Row],[BONUS 9]]</f>
        <v>0</v>
      </c>
      <c r="BQ186">
        <v>1</v>
      </c>
      <c r="BU186" s="23">
        <f>SUM(Tabel2[[#This Row],[V 10]]*10+Tabel2[[#This Row],[GT 10]])/Tabel2[[#This Row],[AW 10]]*10+Tabel2[[#This Row],[BONUS 10]]</f>
        <v>0</v>
      </c>
      <c r="BV1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6" s="22">
        <v>0</v>
      </c>
      <c r="BX186" s="22">
        <f>Tabel2[[#This Row],[Diploma]]-Tabel2[[#This Row],[Uitgeschreven]]</f>
        <v>0</v>
      </c>
      <c r="BY186" s="155" t="str">
        <f>IF(BX186=0,"geen actie",CONCATENATE("diploma uitschrijven: ",BV186," punten"))</f>
        <v>geen actie</v>
      </c>
      <c r="CA186" s="150">
        <f>Tabel2[[#This Row],[pnt t/m 2021/22]]</f>
        <v>104.66666666666666</v>
      </c>
      <c r="CB186" s="150">
        <f>Tabel2[[#This Row],[pnt 2022/2023]]</f>
        <v>27.142857142857146</v>
      </c>
      <c r="CC186" s="150">
        <f t="shared" si="18"/>
        <v>131.8095238095238</v>
      </c>
      <c r="CD186" s="150">
        <f>IF(Tabel2[[#This Row],[LPR 1]]&gt;0,1,0)</f>
        <v>0</v>
      </c>
      <c r="CE186" s="150">
        <f>IF(Tabel2[[#This Row],[LPR 2]]&gt;0,1,0)</f>
        <v>1</v>
      </c>
      <c r="CF186" s="150">
        <f>IF(Tabel2[[#This Row],[LPR 3]]&gt;0,1,0)</f>
        <v>0</v>
      </c>
      <c r="CG186" s="150">
        <f>IF(Tabel2[[#This Row],[LPR 4]]&gt;0,1,0)</f>
        <v>0</v>
      </c>
      <c r="CH186" s="150">
        <f>IF(Tabel2[[#This Row],[LPR 5]]&gt;0,1,0)</f>
        <v>0</v>
      </c>
      <c r="CI186" s="150">
        <f>IF(Tabel2[[#This Row],[LPR 6]]&gt;0,1,0)</f>
        <v>0</v>
      </c>
      <c r="CJ186" s="150">
        <f>IF(Tabel2[[#This Row],[LPR 7]]&gt;0,1,0)</f>
        <v>0</v>
      </c>
      <c r="CK186" s="150">
        <f>IF(Tabel2[[#This Row],[LPR 8]]&gt;0,1,0)</f>
        <v>0</v>
      </c>
      <c r="CL186" s="150">
        <f>IF(Tabel2[[#This Row],[LPR 9]]&gt;0,1,0)</f>
        <v>0</v>
      </c>
      <c r="CM186" s="150">
        <f>IF(Tabel2[[#This Row],[LPR 10]]&gt;0,1,0)</f>
        <v>0</v>
      </c>
      <c r="CN186" s="150">
        <f>SUM(Tabel7[[#This Row],[sep]:[jun]])</f>
        <v>1</v>
      </c>
      <c r="CO186" s="22" t="str">
        <f t="shared" si="13"/>
        <v/>
      </c>
      <c r="CP186" s="22" t="str">
        <f t="shared" si="14"/>
        <v/>
      </c>
      <c r="CQ186" s="22" t="str">
        <f t="shared" si="15"/>
        <v/>
      </c>
      <c r="CR186" s="22" t="str">
        <f t="shared" si="16"/>
        <v/>
      </c>
      <c r="CS186" s="22" t="str">
        <f t="shared" si="17"/>
        <v/>
      </c>
    </row>
    <row r="187" spans="1:97" x14ac:dyDescent="0.3">
      <c r="A187" s="22" t="s">
        <v>145</v>
      </c>
      <c r="B187" s="22" t="s">
        <v>779</v>
      </c>
      <c r="D187" s="22" t="s">
        <v>137</v>
      </c>
      <c r="E187" t="s">
        <v>352</v>
      </c>
      <c r="F187" s="22">
        <v>120309</v>
      </c>
      <c r="G187" s="25" t="s">
        <v>180</v>
      </c>
      <c r="H187" s="27">
        <f>Tabel2[[#This Row],[pnt t/m 2021/22]]+Tabel2[[#This Row],[pnt 2022/2023]]</f>
        <v>203.78571428571428</v>
      </c>
      <c r="I187">
        <v>2010</v>
      </c>
      <c r="J187">
        <v>2023</v>
      </c>
      <c r="K187" s="24">
        <f>Tabel2[[#This Row],[ijkdatum]]-Tabel2[[#This Row],[Geboren]]</f>
        <v>13</v>
      </c>
      <c r="L187" s="26">
        <f>Tabel2[[#This Row],[TTL 1]]+Tabel2[[#This Row],[TTL 2]]+Tabel2[[#This Row],[TTL 3]]+Tabel2[[#This Row],[TTL 4]]+Tabel2[[#This Row],[TTL 5]]+Tabel2[[#This Row],[TTL 6]]+Tabel2[[#This Row],[TTL 7]]+Tabel2[[#This Row],[TTL 8]]+Tabel2[[#This Row],[TTL 9]]+Tabel2[[#This Row],[TTL 10]]</f>
        <v>0</v>
      </c>
      <c r="M187" s="157">
        <v>203.78571428571428</v>
      </c>
      <c r="N187" s="31"/>
      <c r="O187">
        <v>1</v>
      </c>
      <c r="S187" s="157">
        <f>SUM(Tabel2[[#This Row],[V 1]]*10+Tabel2[[#This Row],[GT 1]])/Tabel2[[#This Row],[AW 1]]*10+Tabel2[[#This Row],[BONUS 1]]</f>
        <v>0</v>
      </c>
      <c r="U187">
        <v>1</v>
      </c>
      <c r="Y187" s="153">
        <f>SUM(Tabel2[[#This Row],[V 2]]*10+Tabel2[[#This Row],[GT 2]])/Tabel2[[#This Row],[AW 2]]*10+Tabel2[[#This Row],[BONUS 2]]</f>
        <v>0</v>
      </c>
      <c r="AA187">
        <v>1</v>
      </c>
      <c r="AE187" s="153">
        <f>SUM(Tabel2[[#This Row],[V 3]]*10+Tabel2[[#This Row],[GT 3]])/Tabel2[[#This Row],[AW 3]]*10+Tabel2[[#This Row],[BONUS 3]]</f>
        <v>0</v>
      </c>
      <c r="AG187">
        <v>1</v>
      </c>
      <c r="AK187" s="153">
        <f>SUM(Tabel2[[#This Row],[V 4]]*10+Tabel2[[#This Row],[GT 4]])/Tabel2[[#This Row],[AW 4]]*10+Tabel2[[#This Row],[BONUS 4]]</f>
        <v>0</v>
      </c>
      <c r="AM187">
        <v>1</v>
      </c>
      <c r="AQ187" s="153">
        <f>SUM(Tabel2[[#This Row],[V 5]]*10+Tabel2[[#This Row],[GT 5]])/Tabel2[[#This Row],[AW 5]]*10+Tabel2[[#This Row],[BONUS 5]]</f>
        <v>0</v>
      </c>
      <c r="AS187">
        <v>1</v>
      </c>
      <c r="AW187" s="153">
        <f>SUM(Tabel2[[#This Row],[V 6]]*10+Tabel2[[#This Row],[GT 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153">
        <f>SUM(Tabel2[[#This Row],[V 9]]*10+Tabel2[[#This Row],[GT 9]])/Tabel2[[#This Row],[AW 9]]*10+Tabel2[[#This Row],[BONUS 9]]</f>
        <v>0</v>
      </c>
      <c r="BQ187">
        <v>1</v>
      </c>
      <c r="BU187" s="23">
        <f>SUM(Tabel2[[#This Row],[V 10]]*10+Tabel2[[#This Row],[GT 10]])/Tabel2[[#This Row],[AW 10]]*10+Tabel2[[#This Row],[BONUS 10]]</f>
        <v>0</v>
      </c>
      <c r="BV18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7" s="22">
        <v>0</v>
      </c>
      <c r="BX187" s="22">
        <f>Tabel2[[#This Row],[Diploma]]-Tabel2[[#This Row],[Uitgeschreven]]</f>
        <v>0</v>
      </c>
      <c r="BY187" s="155" t="str">
        <f>IF(BX187=0,"geen actie",CONCATENATE("diploma uitschrijven: ",BV187," punten"))</f>
        <v>geen actie</v>
      </c>
      <c r="CA187" s="150">
        <f>Tabel2[[#This Row],[pnt t/m 2021/22]]</f>
        <v>203.78571428571428</v>
      </c>
      <c r="CB187" s="150">
        <f>Tabel2[[#This Row],[pnt 2022/2023]]</f>
        <v>0</v>
      </c>
      <c r="CC187" s="150">
        <f t="shared" si="18"/>
        <v>203.78571428571428</v>
      </c>
      <c r="CD187" s="150">
        <f>IF(Tabel2[[#This Row],[LPR 1]]&gt;0,1,0)</f>
        <v>0</v>
      </c>
      <c r="CE187" s="150">
        <f>IF(Tabel2[[#This Row],[LPR 2]]&gt;0,1,0)</f>
        <v>0</v>
      </c>
      <c r="CF187" s="150">
        <f>IF(Tabel2[[#This Row],[LPR 3]]&gt;0,1,0)</f>
        <v>0</v>
      </c>
      <c r="CG187" s="150">
        <f>IF(Tabel2[[#This Row],[LPR 4]]&gt;0,1,0)</f>
        <v>0</v>
      </c>
      <c r="CH187" s="150">
        <f>IF(Tabel2[[#This Row],[LPR 5]]&gt;0,1,0)</f>
        <v>0</v>
      </c>
      <c r="CI187" s="150">
        <f>IF(Tabel2[[#This Row],[LPR 6]]&gt;0,1,0)</f>
        <v>0</v>
      </c>
      <c r="CJ187" s="150">
        <f>IF(Tabel2[[#This Row],[LPR 7]]&gt;0,1,0)</f>
        <v>0</v>
      </c>
      <c r="CK187" s="150">
        <f>IF(Tabel2[[#This Row],[LPR 8]]&gt;0,1,0)</f>
        <v>0</v>
      </c>
      <c r="CL187" s="150">
        <f>IF(Tabel2[[#This Row],[LPR 9]]&gt;0,1,0)</f>
        <v>0</v>
      </c>
      <c r="CM187" s="150">
        <f>IF(Tabel2[[#This Row],[LPR 10]]&gt;0,1,0)</f>
        <v>0</v>
      </c>
      <c r="CN187" s="150">
        <f>SUM(Tabel7[[#This Row],[sep]:[jun]])</f>
        <v>0</v>
      </c>
      <c r="CO187" s="22" t="str">
        <f t="shared" si="13"/>
        <v/>
      </c>
      <c r="CP187" s="22" t="str">
        <f t="shared" si="14"/>
        <v/>
      </c>
      <c r="CQ187" s="22" t="str">
        <f t="shared" si="15"/>
        <v/>
      </c>
      <c r="CR187" s="22" t="str">
        <f t="shared" si="16"/>
        <v/>
      </c>
      <c r="CS187" s="22" t="str">
        <f t="shared" si="17"/>
        <v/>
      </c>
    </row>
    <row r="188" spans="1:97" x14ac:dyDescent="0.3">
      <c r="A188" s="22" t="s">
        <v>145</v>
      </c>
      <c r="B188" s="22" t="s">
        <v>778</v>
      </c>
      <c r="D188" s="22" t="s">
        <v>137</v>
      </c>
      <c r="E188" t="s">
        <v>353</v>
      </c>
      <c r="F188" s="22">
        <v>118074</v>
      </c>
      <c r="G188" s="25" t="s">
        <v>147</v>
      </c>
      <c r="H188" s="154">
        <f>Tabel2[[#This Row],[pnt t/m 2021/22]]+Tabel2[[#This Row],[pnt 2022/2023]]</f>
        <v>1563.3888888888889</v>
      </c>
      <c r="I188">
        <v>2009</v>
      </c>
      <c r="J188">
        <v>2023</v>
      </c>
      <c r="K188" s="24">
        <f>Tabel2[[#This Row],[ijkdatum]]-Tabel2[[#This Row],[Geboren]]</f>
        <v>14</v>
      </c>
      <c r="L188" s="26">
        <f>Tabel2[[#This Row],[TTL 1]]+Tabel2[[#This Row],[TTL 2]]+Tabel2[[#This Row],[TTL 3]]+Tabel2[[#This Row],[TTL 4]]+Tabel2[[#This Row],[TTL 5]]+Tabel2[[#This Row],[TTL 6]]+Tabel2[[#This Row],[TTL 7]]+Tabel2[[#This Row],[TTL 8]]+Tabel2[[#This Row],[TTL 9]]+Tabel2[[#This Row],[TTL 10]]</f>
        <v>0</v>
      </c>
      <c r="M188" s="151">
        <v>1563.3888888888889</v>
      </c>
      <c r="N188" s="31"/>
      <c r="O188">
        <v>1</v>
      </c>
      <c r="S188" s="27">
        <f>SUM(Tabel2[[#This Row],[V 1]]*10+Tabel2[[#This Row],[GT 1]])/Tabel2[[#This Row],[AW 1]]*10+Tabel2[[#This Row],[BONUS 1]]</f>
        <v>0</v>
      </c>
      <c r="U188">
        <v>1</v>
      </c>
      <c r="Y188" s="23">
        <f>SUM(Tabel2[[#This Row],[V 2]]*10+Tabel2[[#This Row],[GT 2]])/Tabel2[[#This Row],[AW 2]]*10+Tabel2[[#This Row],[BONUS 2]]</f>
        <v>0</v>
      </c>
      <c r="AA188">
        <v>1</v>
      </c>
      <c r="AE188" s="23">
        <f>SUM(Tabel2[[#This Row],[V 3]]*10+Tabel2[[#This Row],[GT 3]])/Tabel2[[#This Row],[AW 3]]*10+Tabel2[[#This Row],[BONUS 3]]</f>
        <v>0</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 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88" s="22">
        <v>1500</v>
      </c>
      <c r="BX188" s="30">
        <f>Tabel2[[#This Row],[Diploma]]-Tabel2[[#This Row],[Uitgeschreven]]</f>
        <v>0</v>
      </c>
      <c r="BY188" s="2" t="str">
        <f>IF(BX188=0,"geen actie",CONCATENATE("diploma uitschrijven: ",BV188," punten"))</f>
        <v>geen actie</v>
      </c>
      <c r="CA188" s="150">
        <f>Tabel2[[#This Row],[pnt t/m 2021/22]]</f>
        <v>1563.3888888888889</v>
      </c>
      <c r="CB188" s="150">
        <f>Tabel2[[#This Row],[pnt 2022/2023]]</f>
        <v>0</v>
      </c>
      <c r="CC188" s="150">
        <f t="shared" si="18"/>
        <v>1563.3888888888889</v>
      </c>
      <c r="CD188" s="150">
        <f>IF(Tabel2[[#This Row],[LPR 1]]&gt;0,1,0)</f>
        <v>0</v>
      </c>
      <c r="CE188" s="150">
        <f>IF(Tabel2[[#This Row],[LPR 2]]&gt;0,1,0)</f>
        <v>0</v>
      </c>
      <c r="CF188" s="150">
        <f>IF(Tabel2[[#This Row],[LPR 3]]&gt;0,1,0)</f>
        <v>0</v>
      </c>
      <c r="CG188" s="150">
        <f>IF(Tabel2[[#This Row],[LPR 4]]&gt;0,1,0)</f>
        <v>0</v>
      </c>
      <c r="CH188" s="150">
        <f>IF(Tabel2[[#This Row],[LPR 5]]&gt;0,1,0)</f>
        <v>0</v>
      </c>
      <c r="CI188" s="150">
        <f>IF(Tabel2[[#This Row],[LPR 6]]&gt;0,1,0)</f>
        <v>0</v>
      </c>
      <c r="CJ188" s="150">
        <f>IF(Tabel2[[#This Row],[LPR 7]]&gt;0,1,0)</f>
        <v>0</v>
      </c>
      <c r="CK188" s="150">
        <f>IF(Tabel2[[#This Row],[LPR 8]]&gt;0,1,0)</f>
        <v>0</v>
      </c>
      <c r="CL188" s="150">
        <f>IF(Tabel2[[#This Row],[LPR 9]]&gt;0,1,0)</f>
        <v>0</v>
      </c>
      <c r="CM188" s="150">
        <f>IF(Tabel2[[#This Row],[LPR 10]]&gt;0,1,0)</f>
        <v>0</v>
      </c>
      <c r="CN188" s="150">
        <f>SUM(Tabel7[[#This Row],[sep]:[jun]])</f>
        <v>0</v>
      </c>
      <c r="CO188" s="22" t="str">
        <f t="shared" si="13"/>
        <v/>
      </c>
      <c r="CP188" s="22" t="str">
        <f t="shared" si="14"/>
        <v/>
      </c>
      <c r="CQ188" s="22" t="str">
        <f t="shared" si="15"/>
        <v/>
      </c>
      <c r="CR188" s="22" t="str">
        <f t="shared" si="16"/>
        <v/>
      </c>
      <c r="CS188" s="22" t="str">
        <f t="shared" si="17"/>
        <v/>
      </c>
    </row>
    <row r="189" spans="1:97" x14ac:dyDescent="0.3">
      <c r="A189" s="22" t="s">
        <v>135</v>
      </c>
      <c r="B189" s="22" t="s">
        <v>778</v>
      </c>
      <c r="D189" s="22" t="s">
        <v>137</v>
      </c>
      <c r="E189" t="s">
        <v>354</v>
      </c>
      <c r="F189" s="22">
        <v>118518</v>
      </c>
      <c r="G189" s="25" t="s">
        <v>161</v>
      </c>
      <c r="H189" s="154">
        <f>Tabel2[[#This Row],[pnt t/m 2021/22]]+Tabel2[[#This Row],[pnt 2022/2023]]</f>
        <v>2011.3333333333335</v>
      </c>
      <c r="I189">
        <v>2010</v>
      </c>
      <c r="J189">
        <v>2023</v>
      </c>
      <c r="K189" s="24">
        <f>Tabel2[[#This Row],[ijkdatum]]-Tabel2[[#This Row],[Geboren]]</f>
        <v>13</v>
      </c>
      <c r="L189" s="26">
        <f>Tabel2[[#This Row],[TTL 1]]+Tabel2[[#This Row],[TTL 2]]+Tabel2[[#This Row],[TTL 3]]+Tabel2[[#This Row],[TTL 4]]+Tabel2[[#This Row],[TTL 5]]+Tabel2[[#This Row],[TTL 6]]+Tabel2[[#This Row],[TTL 7]]+Tabel2[[#This Row],[TTL 8]]+Tabel2[[#This Row],[TTL 9]]+Tabel2[[#This Row],[TTL 10]]</f>
        <v>0</v>
      </c>
      <c r="M189" s="157">
        <v>2011.3333333333335</v>
      </c>
      <c r="N189" s="31"/>
      <c r="O189">
        <v>1</v>
      </c>
      <c r="S189" s="2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 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89" s="22">
        <v>2000</v>
      </c>
      <c r="BX189" s="30">
        <f>Tabel2[[#This Row],[Diploma]]-Tabel2[[#This Row],[Uitgeschreven]]</f>
        <v>0</v>
      </c>
      <c r="BY189" s="2" t="str">
        <f t="shared" ref="BY133:BY196" si="19">IF(BX189=0,"geen actie",CONCATENATE("diploma uitschrijven: ",BV189," punten"))</f>
        <v>geen actie</v>
      </c>
      <c r="CA189" s="150">
        <f>Tabel2[[#This Row],[pnt t/m 2021/22]]</f>
        <v>2011.3333333333335</v>
      </c>
      <c r="CB189" s="150">
        <f>Tabel2[[#This Row],[pnt 2022/2023]]</f>
        <v>0</v>
      </c>
      <c r="CC189" s="150">
        <f t="shared" si="18"/>
        <v>2011.3333333333335</v>
      </c>
      <c r="CD189" s="150">
        <f>IF(Tabel2[[#This Row],[LPR 1]]&gt;0,1,0)</f>
        <v>0</v>
      </c>
      <c r="CE189" s="150">
        <f>IF(Tabel2[[#This Row],[LPR 2]]&gt;0,1,0)</f>
        <v>0</v>
      </c>
      <c r="CF189" s="150">
        <f>IF(Tabel2[[#This Row],[LPR 3]]&gt;0,1,0)</f>
        <v>0</v>
      </c>
      <c r="CG189" s="150">
        <f>IF(Tabel2[[#This Row],[LPR 4]]&gt;0,1,0)</f>
        <v>0</v>
      </c>
      <c r="CH189" s="150">
        <f>IF(Tabel2[[#This Row],[LPR 5]]&gt;0,1,0)</f>
        <v>0</v>
      </c>
      <c r="CI189" s="150">
        <f>IF(Tabel2[[#This Row],[LPR 6]]&gt;0,1,0)</f>
        <v>0</v>
      </c>
      <c r="CJ189" s="150">
        <f>IF(Tabel2[[#This Row],[LPR 7]]&gt;0,1,0)</f>
        <v>0</v>
      </c>
      <c r="CK189" s="150">
        <f>IF(Tabel2[[#This Row],[LPR 8]]&gt;0,1,0)</f>
        <v>0</v>
      </c>
      <c r="CL189" s="150">
        <f>IF(Tabel2[[#This Row],[LPR 9]]&gt;0,1,0)</f>
        <v>0</v>
      </c>
      <c r="CM189" s="150">
        <f>IF(Tabel2[[#This Row],[LPR 10]]&gt;0,1,0)</f>
        <v>0</v>
      </c>
      <c r="CN189" s="150">
        <f>SUM(Tabel7[[#This Row],[sep]:[jun]])</f>
        <v>0</v>
      </c>
      <c r="CO189" s="22" t="str">
        <f t="shared" si="13"/>
        <v/>
      </c>
      <c r="CP189" s="22" t="str">
        <f t="shared" si="14"/>
        <v/>
      </c>
      <c r="CQ189" s="22" t="str">
        <f t="shared" si="15"/>
        <v/>
      </c>
      <c r="CR189" s="22" t="str">
        <f t="shared" si="16"/>
        <v/>
      </c>
      <c r="CS189" s="22" t="str">
        <f t="shared" si="17"/>
        <v/>
      </c>
    </row>
    <row r="190" spans="1:97" x14ac:dyDescent="0.3">
      <c r="A190" s="22"/>
      <c r="B190" s="22" t="s">
        <v>779</v>
      </c>
      <c r="D190" s="22" t="s">
        <v>137</v>
      </c>
      <c r="G190" s="25"/>
      <c r="H190" s="154">
        <f>Tabel2[[#This Row],[pnt t/m 2021/22]]+Tabel2[[#This Row],[pnt 2022/2023]]</f>
        <v>0</v>
      </c>
      <c r="J190">
        <v>2023</v>
      </c>
      <c r="K190" s="24">
        <f>Tabel2[[#This Row],[ijkdatum]]-Tabel2[[#This Row],[Geboren]]</f>
        <v>2023</v>
      </c>
      <c r="L190" s="26">
        <f>Tabel2[[#This Row],[TTL 1]]+Tabel2[[#This Row],[TTL 2]]+Tabel2[[#This Row],[TTL 3]]+Tabel2[[#This Row],[TTL 4]]+Tabel2[[#This Row],[TTL 5]]+Tabel2[[#This Row],[TTL 6]]+Tabel2[[#This Row],[TTL 7]]+Tabel2[[#This Row],[TTL 8]]+Tabel2[[#This Row],[TTL 9]]+Tabel2[[#This Row],[TTL 10]]</f>
        <v>0</v>
      </c>
      <c r="M190" s="151"/>
      <c r="N190" s="31"/>
      <c r="O190">
        <v>1</v>
      </c>
      <c r="S190" s="27">
        <f>SUM(Tabel2[[#This Row],[V 1]]*10+Tabel2[[#This Row],[GT 1]])/Tabel2[[#This Row],[AW 1]]*10+Tabel2[[#This Row],[BONUS 1]]</f>
        <v>0</v>
      </c>
      <c r="U190">
        <v>1</v>
      </c>
      <c r="Y190" s="23">
        <f>SUM(Tabel2[[#This Row],[V 2]]*10+Tabel2[[#This Row],[GT 2]])/Tabel2[[#This Row],[AW 2]]*10+Tabel2[[#This Row],[BONUS 2]]</f>
        <v>0</v>
      </c>
      <c r="AA190">
        <v>1</v>
      </c>
      <c r="AE190" s="23">
        <f>SUM(Tabel2[[#This Row],[V 3]]*10+Tabel2[[#This Row],[GT 3]])/Tabel2[[#This Row],[AW 3]]*10+Tabel2[[#This Row],[BONUS 3]]</f>
        <v>0</v>
      </c>
      <c r="AG190">
        <v>1</v>
      </c>
      <c r="AK190" s="23">
        <f>SUM(Tabel2[[#This Row],[V 4]]*10+Tabel2[[#This Row],[GT 4]])/Tabel2[[#This Row],[AW 4]]*10+Tabel2[[#This Row],[BONUS 4]]</f>
        <v>0</v>
      </c>
      <c r="AM190">
        <v>1</v>
      </c>
      <c r="AQ190" s="23">
        <f>SUM(Tabel2[[#This Row],[V 5]]*10+Tabel2[[#This Row],[GT 5]])/Tabel2[[#This Row],[AW 5]]*10+Tabel2[[#This Row],[BONUS 5]]</f>
        <v>0</v>
      </c>
      <c r="AS190">
        <v>1</v>
      </c>
      <c r="AW190" s="23">
        <f>SUM(Tabel2[[#This Row],[V 6]]*10+Tabel2[[#This Row],[GT 6]])/Tabel2[[#This Row],[AW 6]]*10+Tabel2[[#This Row],[BONUS 6]]</f>
        <v>0</v>
      </c>
      <c r="AY190">
        <v>1</v>
      </c>
      <c r="BC190" s="23">
        <f>SUM(Tabel2[[#This Row],[V 7]]*10+Tabel2[[#This Row],[GT 7]])/Tabel2[[#This Row],[AW 7]]*10+Tabel2[[#This Row],[BONUS 7]]</f>
        <v>0</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0" s="22">
        <v>0</v>
      </c>
      <c r="BX190" s="30">
        <f>Tabel2[[#This Row],[Diploma]]-Tabel2[[#This Row],[Uitgeschreven]]</f>
        <v>0</v>
      </c>
      <c r="BY190" s="2" t="str">
        <f t="shared" si="19"/>
        <v>geen actie</v>
      </c>
      <c r="CA190" s="150">
        <f>Tabel2[[#This Row],[pnt t/m 2021/22]]</f>
        <v>0</v>
      </c>
      <c r="CB190" s="150">
        <f>Tabel2[[#This Row],[pnt 2022/2023]]</f>
        <v>0</v>
      </c>
      <c r="CC190" s="150">
        <f t="shared" si="18"/>
        <v>0</v>
      </c>
      <c r="CD190" s="150">
        <f>IF(Tabel2[[#This Row],[LPR 1]]&gt;0,1,0)</f>
        <v>0</v>
      </c>
      <c r="CE190" s="150">
        <f>IF(Tabel2[[#This Row],[LPR 2]]&gt;0,1,0)</f>
        <v>0</v>
      </c>
      <c r="CF190" s="150">
        <f>IF(Tabel2[[#This Row],[LPR 3]]&gt;0,1,0)</f>
        <v>0</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0</v>
      </c>
      <c r="CO190" s="22" t="str">
        <f t="shared" si="13"/>
        <v/>
      </c>
      <c r="CP190" s="22" t="str">
        <f t="shared" si="14"/>
        <v/>
      </c>
      <c r="CQ190" s="22" t="str">
        <f t="shared" si="15"/>
        <v/>
      </c>
      <c r="CR190" s="22" t="str">
        <f t="shared" si="16"/>
        <v/>
      </c>
      <c r="CS190" s="22" t="str">
        <f t="shared" si="17"/>
        <v/>
      </c>
    </row>
    <row r="191" spans="1:97" x14ac:dyDescent="0.3">
      <c r="A191" s="22"/>
      <c r="B191" s="22" t="s">
        <v>779</v>
      </c>
      <c r="D191" s="22" t="s">
        <v>137</v>
      </c>
      <c r="G191" s="25"/>
      <c r="H191" s="154">
        <f>Tabel2[[#This Row],[pnt t/m 2021/22]]+Tabel2[[#This Row],[pnt 2022/2023]]</f>
        <v>0</v>
      </c>
      <c r="J191">
        <v>2023</v>
      </c>
      <c r="K191" s="24">
        <f>Tabel2[[#This Row],[ijkdatum]]-Tabel2[[#This Row],[Geboren]]</f>
        <v>2023</v>
      </c>
      <c r="L191" s="26">
        <f>Tabel2[[#This Row],[TTL 1]]+Tabel2[[#This Row],[TTL 2]]+Tabel2[[#This Row],[TTL 3]]+Tabel2[[#This Row],[TTL 4]]+Tabel2[[#This Row],[TTL 5]]+Tabel2[[#This Row],[TTL 6]]+Tabel2[[#This Row],[TTL 7]]+Tabel2[[#This Row],[TTL 8]]+Tabel2[[#This Row],[TTL 9]]+Tabel2[[#This Row],[TTL 10]]</f>
        <v>0</v>
      </c>
      <c r="M191" s="151"/>
      <c r="N191" s="31"/>
      <c r="O191">
        <v>1</v>
      </c>
      <c r="S191" s="27">
        <f>SUM(Tabel2[[#This Row],[V 1]]*10+Tabel2[[#This Row],[GT 1]])/Tabel2[[#This Row],[AW 1]]*10+Tabel2[[#This Row],[BONUS 1]]</f>
        <v>0</v>
      </c>
      <c r="U191">
        <v>1</v>
      </c>
      <c r="Y191" s="23">
        <f>SUM(Tabel2[[#This Row],[V 2]]*10+Tabel2[[#This Row],[GT 2]])/Tabel2[[#This Row],[AW 2]]*10+Tabel2[[#This Row],[BONUS 2]]</f>
        <v>0</v>
      </c>
      <c r="AA191">
        <v>1</v>
      </c>
      <c r="AE191" s="23">
        <f>SUM(Tabel2[[#This Row],[V 3]]*10+Tabel2[[#This Row],[GT 3]])/Tabel2[[#This Row],[AW 3]]*10+Tabel2[[#This Row],[BONUS 3]]</f>
        <v>0</v>
      </c>
      <c r="AG191">
        <v>1</v>
      </c>
      <c r="AK191" s="23">
        <f>SUM(Tabel2[[#This Row],[V 4]]*10+Tabel2[[#This Row],[GT 4]])/Tabel2[[#This Row],[AW 4]]*10+Tabel2[[#This Row],[BONUS 4]]</f>
        <v>0</v>
      </c>
      <c r="AM191">
        <v>1</v>
      </c>
      <c r="AQ191" s="23">
        <f>SUM(Tabel2[[#This Row],[V 5]]*10+Tabel2[[#This Row],[GT 5]])/Tabel2[[#This Row],[AW 5]]*10+Tabel2[[#This Row],[BONUS 5]]</f>
        <v>0</v>
      </c>
      <c r="AS191">
        <v>1</v>
      </c>
      <c r="AW191" s="23">
        <f>SUM(Tabel2[[#This Row],[V 6]]*10+Tabel2[[#This Row],[GT 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1" s="22">
        <v>0</v>
      </c>
      <c r="BX191" s="30">
        <f>Tabel2[[#This Row],[Diploma]]-Tabel2[[#This Row],[Uitgeschreven]]</f>
        <v>0</v>
      </c>
      <c r="BY191" s="2" t="str">
        <f t="shared" si="19"/>
        <v>geen actie</v>
      </c>
      <c r="CA191" s="150">
        <f>Tabel2[[#This Row],[pnt t/m 2021/22]]</f>
        <v>0</v>
      </c>
      <c r="CB191" s="150">
        <f>Tabel2[[#This Row],[pnt 2022/2023]]</f>
        <v>0</v>
      </c>
      <c r="CC191" s="150">
        <f t="shared" si="18"/>
        <v>0</v>
      </c>
      <c r="CD191" s="150">
        <f>IF(Tabel2[[#This Row],[LPR 1]]&gt;0,1,0)</f>
        <v>0</v>
      </c>
      <c r="CE191" s="150">
        <f>IF(Tabel2[[#This Row],[LPR 2]]&gt;0,1,0)</f>
        <v>0</v>
      </c>
      <c r="CF191" s="150">
        <f>IF(Tabel2[[#This Row],[LPR 3]]&gt;0,1,0)</f>
        <v>0</v>
      </c>
      <c r="CG191" s="150">
        <f>IF(Tabel2[[#This Row],[LPR 4]]&gt;0,1,0)</f>
        <v>0</v>
      </c>
      <c r="CH191" s="150">
        <f>IF(Tabel2[[#This Row],[LPR 5]]&gt;0,1,0)</f>
        <v>0</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0</v>
      </c>
      <c r="CO191" s="22" t="str">
        <f t="shared" si="13"/>
        <v/>
      </c>
      <c r="CP191" s="22" t="str">
        <f t="shared" si="14"/>
        <v/>
      </c>
      <c r="CQ191" s="22" t="str">
        <f t="shared" si="15"/>
        <v/>
      </c>
      <c r="CR191" s="22" t="str">
        <f t="shared" si="16"/>
        <v/>
      </c>
      <c r="CS191" s="22" t="str">
        <f t="shared" si="17"/>
        <v/>
      </c>
    </row>
    <row r="192" spans="1:97" x14ac:dyDescent="0.3">
      <c r="A192" s="22"/>
      <c r="B192" s="22" t="s">
        <v>779</v>
      </c>
      <c r="D192" s="22" t="s">
        <v>137</v>
      </c>
      <c r="G192" s="25"/>
      <c r="H192" s="154">
        <f>Tabel2[[#This Row],[pnt t/m 2021/22]]+Tabel2[[#This Row],[pnt 2022/2023]]</f>
        <v>0</v>
      </c>
      <c r="J192">
        <v>2023</v>
      </c>
      <c r="K192" s="24">
        <f>Tabel2[[#This Row],[ijkdatum]]-Tabel2[[#This Row],[Geboren]]</f>
        <v>2023</v>
      </c>
      <c r="L192" s="26">
        <f>Tabel2[[#This Row],[TTL 1]]+Tabel2[[#This Row],[TTL 2]]+Tabel2[[#This Row],[TTL 3]]+Tabel2[[#This Row],[TTL 4]]+Tabel2[[#This Row],[TTL 5]]+Tabel2[[#This Row],[TTL 6]]+Tabel2[[#This Row],[TTL 7]]+Tabel2[[#This Row],[TTL 8]]+Tabel2[[#This Row],[TTL 9]]+Tabel2[[#This Row],[TTL 10]]</f>
        <v>0</v>
      </c>
      <c r="M192" s="151"/>
      <c r="N192" s="31"/>
      <c r="O192">
        <v>1</v>
      </c>
      <c r="S192" s="27">
        <f>SUM(Tabel2[[#This Row],[V 1]]*10+Tabel2[[#This Row],[GT 1]])/Tabel2[[#This Row],[AW 1]]*10+Tabel2[[#This Row],[BONUS 1]]</f>
        <v>0</v>
      </c>
      <c r="U192">
        <v>1</v>
      </c>
      <c r="Y192" s="23">
        <f>SUM(Tabel2[[#This Row],[V 2]]*10+Tabel2[[#This Row],[GT 2]])/Tabel2[[#This Row],[AW 2]]*10+Tabel2[[#This Row],[BONUS 2]]</f>
        <v>0</v>
      </c>
      <c r="AA192">
        <v>1</v>
      </c>
      <c r="AE192" s="23">
        <f>SUM(Tabel2[[#This Row],[V 3]]*10+Tabel2[[#This Row],[GT 3]])/Tabel2[[#This Row],[AW 3]]*10+Tabel2[[#This Row],[BONUS 3]]</f>
        <v>0</v>
      </c>
      <c r="AG192">
        <v>1</v>
      </c>
      <c r="AK192" s="23">
        <f>SUM(Tabel2[[#This Row],[V 4]]*10+Tabel2[[#This Row],[GT 4]])/Tabel2[[#This Row],[AW 4]]*10+Tabel2[[#This Row],[BONUS 4]]</f>
        <v>0</v>
      </c>
      <c r="AM192">
        <v>1</v>
      </c>
      <c r="AQ192" s="23">
        <f>SUM(Tabel2[[#This Row],[V 5]]*10+Tabel2[[#This Row],[GT 5]])/Tabel2[[#This Row],[AW 5]]*10+Tabel2[[#This Row],[BONUS 5]]</f>
        <v>0</v>
      </c>
      <c r="AS192">
        <v>1</v>
      </c>
      <c r="AW192" s="23">
        <f>SUM(Tabel2[[#This Row],[V 6]]*10+Tabel2[[#This Row],[GT 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2" s="22">
        <v>0</v>
      </c>
      <c r="BX192" s="30">
        <f>Tabel2[[#This Row],[Diploma]]-Tabel2[[#This Row],[Uitgeschreven]]</f>
        <v>0</v>
      </c>
      <c r="BY192" s="2" t="str">
        <f t="shared" si="19"/>
        <v>geen actie</v>
      </c>
      <c r="CA192" s="150">
        <f>Tabel2[[#This Row],[pnt t/m 2021/22]]</f>
        <v>0</v>
      </c>
      <c r="CB192" s="150">
        <f>Tabel2[[#This Row],[pnt 2022/2023]]</f>
        <v>0</v>
      </c>
      <c r="CC192" s="150">
        <f t="shared" si="18"/>
        <v>0</v>
      </c>
      <c r="CD192" s="150">
        <f>IF(Tabel2[[#This Row],[LPR 1]]&gt;0,1,0)</f>
        <v>0</v>
      </c>
      <c r="CE192" s="150">
        <f>IF(Tabel2[[#This Row],[LPR 2]]&gt;0,1,0)</f>
        <v>0</v>
      </c>
      <c r="CF192" s="150">
        <f>IF(Tabel2[[#This Row],[LPR 3]]&gt;0,1,0)</f>
        <v>0</v>
      </c>
      <c r="CG192" s="150">
        <f>IF(Tabel2[[#This Row],[LPR 4]]&gt;0,1,0)</f>
        <v>0</v>
      </c>
      <c r="CH192" s="150">
        <f>IF(Tabel2[[#This Row],[LPR 5]]&gt;0,1,0)</f>
        <v>0</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0</v>
      </c>
      <c r="CO192" s="22" t="str">
        <f t="shared" si="13"/>
        <v/>
      </c>
      <c r="CP192" s="22" t="str">
        <f t="shared" si="14"/>
        <v/>
      </c>
      <c r="CQ192" s="22" t="str">
        <f t="shared" si="15"/>
        <v/>
      </c>
      <c r="CR192" s="22" t="str">
        <f t="shared" si="16"/>
        <v/>
      </c>
      <c r="CS192" s="22" t="str">
        <f t="shared" si="17"/>
        <v/>
      </c>
    </row>
    <row r="193" spans="1:97" x14ac:dyDescent="0.3">
      <c r="A193" s="22"/>
      <c r="B193" s="22" t="s">
        <v>779</v>
      </c>
      <c r="D193" s="22" t="s">
        <v>137</v>
      </c>
      <c r="G193" s="25"/>
      <c r="H193" s="154">
        <f>Tabel2[[#This Row],[pnt t/m 2021/22]]+Tabel2[[#This Row],[pnt 2022/2023]]</f>
        <v>0</v>
      </c>
      <c r="J193">
        <v>2023</v>
      </c>
      <c r="K193" s="24">
        <f>Tabel2[[#This Row],[ijkdatum]]-Tabel2[[#This Row],[Geboren]]</f>
        <v>2023</v>
      </c>
      <c r="L193" s="26">
        <f>Tabel2[[#This Row],[TTL 1]]+Tabel2[[#This Row],[TTL 2]]+Tabel2[[#This Row],[TTL 3]]+Tabel2[[#This Row],[TTL 4]]+Tabel2[[#This Row],[TTL 5]]+Tabel2[[#This Row],[TTL 6]]+Tabel2[[#This Row],[TTL 7]]+Tabel2[[#This Row],[TTL 8]]+Tabel2[[#This Row],[TTL 9]]+Tabel2[[#This Row],[TTL 10]]</f>
        <v>0</v>
      </c>
      <c r="M193" s="151"/>
      <c r="N193" s="31"/>
      <c r="O193">
        <v>1</v>
      </c>
      <c r="S193" s="27">
        <f>SUM(Tabel2[[#This Row],[V 1]]*10+Tabel2[[#This Row],[GT 1]])/Tabel2[[#This Row],[AW 1]]*10+Tabel2[[#This Row],[BONUS 1]]</f>
        <v>0</v>
      </c>
      <c r="U193">
        <v>1</v>
      </c>
      <c r="Y193" s="23">
        <f>SUM(Tabel2[[#This Row],[V 2]]*10+Tabel2[[#This Row],[GT 2]])/Tabel2[[#This Row],[AW 2]]*10+Tabel2[[#This Row],[BONUS 2]]</f>
        <v>0</v>
      </c>
      <c r="AA193">
        <v>1</v>
      </c>
      <c r="AE193" s="23">
        <f>SUM(Tabel2[[#This Row],[V 3]]*10+Tabel2[[#This Row],[GT 3]])/Tabel2[[#This Row],[AW 3]]*10+Tabel2[[#This Row],[BONUS 3]]</f>
        <v>0</v>
      </c>
      <c r="AG193">
        <v>1</v>
      </c>
      <c r="AK193" s="23">
        <f>SUM(Tabel2[[#This Row],[V 4]]*10+Tabel2[[#This Row],[GT 4]])/Tabel2[[#This Row],[AW 4]]*10+Tabel2[[#This Row],[BONUS 4]]</f>
        <v>0</v>
      </c>
      <c r="AM193">
        <v>1</v>
      </c>
      <c r="AQ193" s="23">
        <f>SUM(Tabel2[[#This Row],[V 5]]*10+Tabel2[[#This Row],[GT 5]])/Tabel2[[#This Row],[AW 5]]*10+Tabel2[[#This Row],[BONUS 5]]</f>
        <v>0</v>
      </c>
      <c r="AS193">
        <v>1</v>
      </c>
      <c r="AW193" s="23">
        <f>SUM(Tabel2[[#This Row],[V 6]]*10+Tabel2[[#This Row],[GT 6]])/Tabel2[[#This Row],[AW 6]]*10+Tabel2[[#This Row],[BONUS 6]]</f>
        <v>0</v>
      </c>
      <c r="AY193">
        <v>1</v>
      </c>
      <c r="BC193" s="23">
        <f>SUM(Tabel2[[#This Row],[V 7]]*10+Tabel2[[#This Row],[GT 7]])/Tabel2[[#This Row],[AW 7]]*10+Tabel2[[#This Row],[BONUS 7]]</f>
        <v>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3" s="22">
        <v>0</v>
      </c>
      <c r="BX193" s="30">
        <f>Tabel2[[#This Row],[Diploma]]-Tabel2[[#This Row],[Uitgeschreven]]</f>
        <v>0</v>
      </c>
      <c r="BY193" s="2" t="str">
        <f t="shared" si="19"/>
        <v>geen actie</v>
      </c>
      <c r="CA193" s="150">
        <f>Tabel2[[#This Row],[pnt t/m 2021/22]]</f>
        <v>0</v>
      </c>
      <c r="CB193" s="150">
        <f>Tabel2[[#This Row],[pnt 2022/2023]]</f>
        <v>0</v>
      </c>
      <c r="CC193" s="150">
        <f t="shared" si="18"/>
        <v>0</v>
      </c>
      <c r="CD193" s="150">
        <f>IF(Tabel2[[#This Row],[LPR 1]]&gt;0,1,0)</f>
        <v>0</v>
      </c>
      <c r="CE193" s="150">
        <f>IF(Tabel2[[#This Row],[LPR 2]]&gt;0,1,0)</f>
        <v>0</v>
      </c>
      <c r="CF193" s="150">
        <f>IF(Tabel2[[#This Row],[LPR 3]]&gt;0,1,0)</f>
        <v>0</v>
      </c>
      <c r="CG193" s="150">
        <f>IF(Tabel2[[#This Row],[LPR 4]]&gt;0,1,0)</f>
        <v>0</v>
      </c>
      <c r="CH193" s="150">
        <f>IF(Tabel2[[#This Row],[LPR 5]]&gt;0,1,0)</f>
        <v>0</v>
      </c>
      <c r="CI193" s="150">
        <f>IF(Tabel2[[#This Row],[LPR 6]]&gt;0,1,0)</f>
        <v>0</v>
      </c>
      <c r="CJ193" s="150">
        <f>IF(Tabel2[[#This Row],[LPR 7]]&gt;0,1,0)</f>
        <v>0</v>
      </c>
      <c r="CK193" s="150">
        <f>IF(Tabel2[[#This Row],[LPR 8]]&gt;0,1,0)</f>
        <v>0</v>
      </c>
      <c r="CL193" s="150">
        <f>IF(Tabel2[[#This Row],[LPR 9]]&gt;0,1,0)</f>
        <v>0</v>
      </c>
      <c r="CM193" s="150">
        <f>IF(Tabel2[[#This Row],[LPR 10]]&gt;0,1,0)</f>
        <v>0</v>
      </c>
      <c r="CN193" s="150">
        <f>SUM(Tabel7[[#This Row],[sep]:[jun]])</f>
        <v>0</v>
      </c>
      <c r="CO193" s="22" t="str">
        <f t="shared" si="13"/>
        <v/>
      </c>
      <c r="CP193" s="22" t="str">
        <f t="shared" si="14"/>
        <v/>
      </c>
      <c r="CQ193" s="22" t="str">
        <f t="shared" si="15"/>
        <v/>
      </c>
      <c r="CR193" s="22" t="str">
        <f t="shared" si="16"/>
        <v/>
      </c>
      <c r="CS193" s="22" t="str">
        <f t="shared" si="17"/>
        <v/>
      </c>
    </row>
    <row r="194" spans="1:97" x14ac:dyDescent="0.3">
      <c r="A194" s="22"/>
      <c r="B194" s="22" t="s">
        <v>779</v>
      </c>
      <c r="D194" s="22" t="s">
        <v>137</v>
      </c>
      <c r="G194" s="25"/>
      <c r="H194" s="154">
        <f>Tabel2[[#This Row],[pnt t/m 2021/22]]+Tabel2[[#This Row],[pnt 2022/2023]]</f>
        <v>0</v>
      </c>
      <c r="J194">
        <v>2023</v>
      </c>
      <c r="K194" s="24">
        <f>Tabel2[[#This Row],[ijkdatum]]-Tabel2[[#This Row],[Geboren]]</f>
        <v>2023</v>
      </c>
      <c r="L194" s="26">
        <f>Tabel2[[#This Row],[TTL 1]]+Tabel2[[#This Row],[TTL 2]]+Tabel2[[#This Row],[TTL 3]]+Tabel2[[#This Row],[TTL 4]]+Tabel2[[#This Row],[TTL 5]]+Tabel2[[#This Row],[TTL 6]]+Tabel2[[#This Row],[TTL 7]]+Tabel2[[#This Row],[TTL 8]]+Tabel2[[#This Row],[TTL 9]]+Tabel2[[#This Row],[TTL 10]]</f>
        <v>0</v>
      </c>
      <c r="M194" s="151"/>
      <c r="N194" s="31"/>
      <c r="O194">
        <v>1</v>
      </c>
      <c r="S194" s="27">
        <f>SUM(Tabel2[[#This Row],[V 1]]*10+Tabel2[[#This Row],[GT 1]])/Tabel2[[#This Row],[AW 1]]*10+Tabel2[[#This Row],[BONUS 1]]</f>
        <v>0</v>
      </c>
      <c r="U194">
        <v>1</v>
      </c>
      <c r="Y194" s="23">
        <f>SUM(Tabel2[[#This Row],[V 2]]*10+Tabel2[[#This Row],[GT 2]])/Tabel2[[#This Row],[AW 2]]*10+Tabel2[[#This Row],[BONUS 2]]</f>
        <v>0</v>
      </c>
      <c r="AA194">
        <v>1</v>
      </c>
      <c r="AE194" s="23">
        <f>SUM(Tabel2[[#This Row],[V 3]]*10+Tabel2[[#This Row],[GT 3]])/Tabel2[[#This Row],[AW 3]]*10+Tabel2[[#This Row],[BONUS 3]]</f>
        <v>0</v>
      </c>
      <c r="AG194">
        <v>1</v>
      </c>
      <c r="AK194" s="23">
        <f>SUM(Tabel2[[#This Row],[V 4]]*10+Tabel2[[#This Row],[GT 4]])/Tabel2[[#This Row],[AW 4]]*10+Tabel2[[#This Row],[BONUS 4]]</f>
        <v>0</v>
      </c>
      <c r="AM194">
        <v>1</v>
      </c>
      <c r="AQ194" s="23">
        <f>SUM(Tabel2[[#This Row],[V 5]]*10+Tabel2[[#This Row],[GT 5]])/Tabel2[[#This Row],[AW 5]]*10+Tabel2[[#This Row],[BONUS 5]]</f>
        <v>0</v>
      </c>
      <c r="AS194">
        <v>1</v>
      </c>
      <c r="AW194" s="23">
        <f>SUM(Tabel2[[#This Row],[V 6]]*10+Tabel2[[#This Row],[GT 6]])/Tabel2[[#This Row],[AW 6]]*10+Tabel2[[#This Row],[BONUS 6]]</f>
        <v>0</v>
      </c>
      <c r="AY194">
        <v>1</v>
      </c>
      <c r="BC194" s="23">
        <f>SUM(Tabel2[[#This Row],[V 7]]*10+Tabel2[[#This Row],[GT 7]])/Tabel2[[#This Row],[AW 7]]*10+Tabel2[[#This Row],[BONUS 7]]</f>
        <v>0</v>
      </c>
      <c r="BE194">
        <v>1</v>
      </c>
      <c r="BI194" s="23">
        <f>SUM(Tabel2[[#This Row],[V 8]]*10+Tabel2[[#This Row],[GT 8]])/Tabel2[[#This Row],[AW 8]]*10+Tabel2[[#This Row],[BONUS 8]]</f>
        <v>0</v>
      </c>
      <c r="BK194">
        <v>1</v>
      </c>
      <c r="BO194" s="23">
        <f>SUM(Tabel2[[#This Row],[V 9]]*10+Tabel2[[#This Row],[GT 9]])/Tabel2[[#This Row],[AW 9]]*10+Tabel2[[#This Row],[BONUS 9]]</f>
        <v>0</v>
      </c>
      <c r="BQ194">
        <v>1</v>
      </c>
      <c r="BU194" s="23">
        <f>SUM(Tabel2[[#This Row],[V 10]]*10+Tabel2[[#This Row],[GT 10]])/Tabel2[[#This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4" s="22">
        <v>0</v>
      </c>
      <c r="BX194" s="30">
        <f>Tabel2[[#This Row],[Diploma]]-Tabel2[[#This Row],[Uitgeschreven]]</f>
        <v>0</v>
      </c>
      <c r="BY194" s="2" t="str">
        <f t="shared" si="19"/>
        <v>geen actie</v>
      </c>
      <c r="CA194" s="150">
        <f>Tabel2[[#This Row],[pnt t/m 2021/22]]</f>
        <v>0</v>
      </c>
      <c r="CB194" s="150">
        <f>Tabel2[[#This Row],[pnt 2022/2023]]</f>
        <v>0</v>
      </c>
      <c r="CC194" s="150">
        <f t="shared" si="18"/>
        <v>0</v>
      </c>
      <c r="CD194" s="150">
        <f>IF(Tabel2[[#This Row],[LPR 1]]&gt;0,1,0)</f>
        <v>0</v>
      </c>
      <c r="CE194" s="150">
        <f>IF(Tabel2[[#This Row],[LPR 2]]&gt;0,1,0)</f>
        <v>0</v>
      </c>
      <c r="CF194" s="150">
        <f>IF(Tabel2[[#This Row],[LPR 3]]&gt;0,1,0)</f>
        <v>0</v>
      </c>
      <c r="CG194" s="150">
        <f>IF(Tabel2[[#This Row],[LPR 4]]&gt;0,1,0)</f>
        <v>0</v>
      </c>
      <c r="CH194" s="150">
        <f>IF(Tabel2[[#This Row],[LPR 5]]&gt;0,1,0)</f>
        <v>0</v>
      </c>
      <c r="CI194" s="150">
        <f>IF(Tabel2[[#This Row],[LPR 6]]&gt;0,1,0)</f>
        <v>0</v>
      </c>
      <c r="CJ194" s="150">
        <f>IF(Tabel2[[#This Row],[LPR 7]]&gt;0,1,0)</f>
        <v>0</v>
      </c>
      <c r="CK194" s="150">
        <f>IF(Tabel2[[#This Row],[LPR 8]]&gt;0,1,0)</f>
        <v>0</v>
      </c>
      <c r="CL194" s="150">
        <f>IF(Tabel2[[#This Row],[LPR 9]]&gt;0,1,0)</f>
        <v>0</v>
      </c>
      <c r="CM194" s="150">
        <f>IF(Tabel2[[#This Row],[LPR 10]]&gt;0,1,0)</f>
        <v>0</v>
      </c>
      <c r="CN194" s="150">
        <f>SUM(Tabel7[[#This Row],[sep]:[jun]])</f>
        <v>0</v>
      </c>
      <c r="CO194" s="22" t="str">
        <f t="shared" si="13"/>
        <v/>
      </c>
      <c r="CP194" s="22" t="str">
        <f t="shared" si="14"/>
        <v/>
      </c>
      <c r="CQ194" s="22" t="str">
        <f t="shared" si="15"/>
        <v/>
      </c>
      <c r="CR194" s="22" t="str">
        <f t="shared" si="16"/>
        <v/>
      </c>
      <c r="CS194" s="22" t="str">
        <f t="shared" si="17"/>
        <v/>
      </c>
    </row>
    <row r="195" spans="1:97" x14ac:dyDescent="0.3">
      <c r="A195" s="22"/>
      <c r="B195" s="22" t="s">
        <v>779</v>
      </c>
      <c r="D195" s="22" t="s">
        <v>137</v>
      </c>
      <c r="G195" s="25"/>
      <c r="H195" s="154">
        <f>Tabel2[[#This Row],[pnt t/m 2021/22]]+Tabel2[[#This Row],[pnt 2022/2023]]</f>
        <v>0</v>
      </c>
      <c r="J195">
        <v>2023</v>
      </c>
      <c r="K195" s="24">
        <f>Tabel2[[#This Row],[ijkdatum]]-Tabel2[[#This Row],[Geboren]]</f>
        <v>2023</v>
      </c>
      <c r="L195" s="26">
        <f>Tabel2[[#This Row],[TTL 1]]+Tabel2[[#This Row],[TTL 2]]+Tabel2[[#This Row],[TTL 3]]+Tabel2[[#This Row],[TTL 4]]+Tabel2[[#This Row],[TTL 5]]+Tabel2[[#This Row],[TTL 6]]+Tabel2[[#This Row],[TTL 7]]+Tabel2[[#This Row],[TTL 8]]+Tabel2[[#This Row],[TTL 9]]+Tabel2[[#This Row],[TTL 10]]</f>
        <v>0</v>
      </c>
      <c r="M195" s="151"/>
      <c r="N195" s="31"/>
      <c r="O195">
        <v>1</v>
      </c>
      <c r="S195" s="27">
        <f>SUM(Tabel2[[#This Row],[V 1]]*10+Tabel2[[#This Row],[GT 1]])/Tabel2[[#This Row],[AW 1]]*10+Tabel2[[#This Row],[BONUS 1]]</f>
        <v>0</v>
      </c>
      <c r="U195">
        <v>1</v>
      </c>
      <c r="Y195" s="23">
        <f>SUM(Tabel2[[#This Row],[V 2]]*10+Tabel2[[#This Row],[GT 2]])/Tabel2[[#This Row],[AW 2]]*10+Tabel2[[#This Row],[BONUS 2]]</f>
        <v>0</v>
      </c>
      <c r="AA195">
        <v>1</v>
      </c>
      <c r="AE195" s="23">
        <f>SUM(Tabel2[[#This Row],[V 3]]*10+Tabel2[[#This Row],[GT 3]])/Tabel2[[#This Row],[AW 3]]*10+Tabel2[[#This Row],[BONUS 3]]</f>
        <v>0</v>
      </c>
      <c r="AG195">
        <v>1</v>
      </c>
      <c r="AK195" s="23">
        <f>SUM(Tabel2[[#This Row],[V 4]]*10+Tabel2[[#This Row],[GT 4]])/Tabel2[[#This Row],[AW 4]]*10+Tabel2[[#This Row],[BONUS 4]]</f>
        <v>0</v>
      </c>
      <c r="AM195">
        <v>1</v>
      </c>
      <c r="AQ195" s="23">
        <f>SUM(Tabel2[[#This Row],[V 5]]*10+Tabel2[[#This Row],[GT 5]])/Tabel2[[#This Row],[AW 5]]*10+Tabel2[[#This Row],[BONUS 5]]</f>
        <v>0</v>
      </c>
      <c r="AS195">
        <v>1</v>
      </c>
      <c r="AW195" s="23">
        <f>SUM(Tabel2[[#This Row],[V 6]]*10+Tabel2[[#This Row],[GT 6]])/Tabel2[[#This Row],[AW 6]]*10+Tabel2[[#This Row],[BONUS 6]]</f>
        <v>0</v>
      </c>
      <c r="AY195">
        <v>1</v>
      </c>
      <c r="BC195" s="23">
        <f>SUM(Tabel2[[#This Row],[V 7]]*10+Tabel2[[#This Row],[GT 7]])/Tabel2[[#This Row],[AW 7]]*10+Tabel2[[#This Row],[BONUS 7]]</f>
        <v>0</v>
      </c>
      <c r="BE195">
        <v>1</v>
      </c>
      <c r="BI195" s="23">
        <f>SUM(Tabel2[[#This Row],[V 8]]*10+Tabel2[[#This Row],[GT 8]])/Tabel2[[#This Row],[AW 8]]*10+Tabel2[[#This Row],[BONUS 8]]</f>
        <v>0</v>
      </c>
      <c r="BK195">
        <v>1</v>
      </c>
      <c r="BO195" s="23">
        <f>SUM(Tabel2[[#This Row],[V 9]]*10+Tabel2[[#This Row],[GT 9]])/Tabel2[[#This Row],[AW 9]]*10+Tabel2[[#This Row],[BONUS 9]]</f>
        <v>0</v>
      </c>
      <c r="BQ195">
        <v>1</v>
      </c>
      <c r="BU195" s="23">
        <f>SUM(Tabel2[[#This Row],[V 10]]*10+Tabel2[[#This Row],[GT 10]])/Tabel2[[#This Row],[AW 10]]*10+Tabel2[[#This Row],[BONUS 10]]</f>
        <v>0</v>
      </c>
      <c r="BV1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5" s="22">
        <v>0</v>
      </c>
      <c r="BX195" s="30">
        <f>Tabel2[[#This Row],[Diploma]]-Tabel2[[#This Row],[Uitgeschreven]]</f>
        <v>0</v>
      </c>
      <c r="BY195" s="2" t="str">
        <f t="shared" si="19"/>
        <v>geen actie</v>
      </c>
      <c r="CA195" s="150">
        <f>Tabel2[[#This Row],[pnt t/m 2021/22]]</f>
        <v>0</v>
      </c>
      <c r="CB195" s="150">
        <f>Tabel2[[#This Row],[pnt 2022/2023]]</f>
        <v>0</v>
      </c>
      <c r="CC195" s="150">
        <f t="shared" si="18"/>
        <v>0</v>
      </c>
      <c r="CD195" s="150">
        <f>IF(Tabel2[[#This Row],[LPR 1]]&gt;0,1,0)</f>
        <v>0</v>
      </c>
      <c r="CE195" s="150">
        <f>IF(Tabel2[[#This Row],[LPR 2]]&gt;0,1,0)</f>
        <v>0</v>
      </c>
      <c r="CF195" s="150">
        <f>IF(Tabel2[[#This Row],[LPR 3]]&gt;0,1,0)</f>
        <v>0</v>
      </c>
      <c r="CG195" s="150">
        <f>IF(Tabel2[[#This Row],[LPR 4]]&gt;0,1,0)</f>
        <v>0</v>
      </c>
      <c r="CH195" s="150">
        <f>IF(Tabel2[[#This Row],[LPR 5]]&gt;0,1,0)</f>
        <v>0</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0</v>
      </c>
      <c r="CO195" s="22" t="str">
        <f t="shared" si="13"/>
        <v/>
      </c>
      <c r="CP195" s="22" t="str">
        <f t="shared" si="14"/>
        <v/>
      </c>
      <c r="CQ195" s="22" t="str">
        <f t="shared" si="15"/>
        <v/>
      </c>
      <c r="CR195" s="22" t="str">
        <f t="shared" si="16"/>
        <v/>
      </c>
      <c r="CS195" s="22" t="str">
        <f t="shared" si="17"/>
        <v/>
      </c>
    </row>
    <row r="196" spans="1:97" x14ac:dyDescent="0.3">
      <c r="A196" s="22"/>
      <c r="B196" s="22" t="s">
        <v>779</v>
      </c>
      <c r="D196" s="22" t="s">
        <v>137</v>
      </c>
      <c r="G196" s="25"/>
      <c r="H196" s="154">
        <f>Tabel2[[#This Row],[pnt t/m 2021/22]]+Tabel2[[#This Row],[pnt 2022/2023]]</f>
        <v>0</v>
      </c>
      <c r="J196">
        <v>2023</v>
      </c>
      <c r="K196" s="24">
        <f>Tabel2[[#This Row],[ijkdatum]]-Tabel2[[#This Row],[Geboren]]</f>
        <v>2023</v>
      </c>
      <c r="L196" s="26">
        <f>Tabel2[[#This Row],[TTL 1]]+Tabel2[[#This Row],[TTL 2]]+Tabel2[[#This Row],[TTL 3]]+Tabel2[[#This Row],[TTL 4]]+Tabel2[[#This Row],[TTL 5]]+Tabel2[[#This Row],[TTL 6]]+Tabel2[[#This Row],[TTL 7]]+Tabel2[[#This Row],[TTL 8]]+Tabel2[[#This Row],[TTL 9]]+Tabel2[[#This Row],[TTL 10]]</f>
        <v>0</v>
      </c>
      <c r="M196" s="151"/>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 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6" s="22">
        <v>0</v>
      </c>
      <c r="BX196" s="30">
        <f>Tabel2[[#This Row],[Diploma]]-Tabel2[[#This Row],[Uitgeschreven]]</f>
        <v>0</v>
      </c>
      <c r="BY196" s="2" t="str">
        <f t="shared" si="19"/>
        <v>geen actie</v>
      </c>
      <c r="CA196" s="150">
        <f>Tabel2[[#This Row],[pnt t/m 2021/22]]</f>
        <v>0</v>
      </c>
      <c r="CB196" s="150">
        <f>Tabel2[[#This Row],[pnt 2022/2023]]</f>
        <v>0</v>
      </c>
      <c r="CC196" s="150">
        <f t="shared" si="18"/>
        <v>0</v>
      </c>
      <c r="CD196" s="150">
        <f>IF(Tabel2[[#This Row],[LPR 1]]&gt;0,1,0)</f>
        <v>0</v>
      </c>
      <c r="CE196" s="150">
        <f>IF(Tabel2[[#This Row],[LPR 2]]&gt;0,1,0)</f>
        <v>0</v>
      </c>
      <c r="CF196" s="150">
        <f>IF(Tabel2[[#This Row],[LPR 3]]&gt;0,1,0)</f>
        <v>0</v>
      </c>
      <c r="CG196" s="150">
        <f>IF(Tabel2[[#This Row],[LPR 4]]&gt;0,1,0)</f>
        <v>0</v>
      </c>
      <c r="CH196" s="150">
        <f>IF(Tabel2[[#This Row],[LPR 5]]&gt;0,1,0)</f>
        <v>0</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0</v>
      </c>
      <c r="CO196" s="22" t="str">
        <f t="shared" si="13"/>
        <v/>
      </c>
      <c r="CP196" s="22" t="str">
        <f t="shared" si="14"/>
        <v/>
      </c>
      <c r="CQ196" s="22" t="str">
        <f t="shared" si="15"/>
        <v/>
      </c>
      <c r="CR196" s="22" t="str">
        <f t="shared" si="16"/>
        <v/>
      </c>
      <c r="CS196" s="22" t="str">
        <f t="shared" si="17"/>
        <v/>
      </c>
    </row>
    <row r="197" spans="1:97" x14ac:dyDescent="0.3">
      <c r="A197" s="22"/>
      <c r="B197" s="22" t="s">
        <v>779</v>
      </c>
      <c r="D197" s="22" t="s">
        <v>137</v>
      </c>
      <c r="G197" s="25"/>
      <c r="H197" s="27">
        <f>Tabel2[[#This Row],[pnt t/m 2021/22]]+Tabel2[[#This Row],[pnt 2022/2023]]</f>
        <v>0</v>
      </c>
      <c r="J197">
        <v>2023</v>
      </c>
      <c r="K197" s="24">
        <f>Tabel2[[#This Row],[ijkdatum]]-Tabel2[[#This Row],[Geboren]]</f>
        <v>2023</v>
      </c>
      <c r="L197" s="26">
        <f>Tabel2[[#This Row],[TTL 1]]+Tabel2[[#This Row],[TTL 2]]+Tabel2[[#This Row],[TTL 3]]+Tabel2[[#This Row],[TTL 4]]+Tabel2[[#This Row],[TTL 5]]+Tabel2[[#This Row],[TTL 6]]+Tabel2[[#This Row],[TTL 7]]+Tabel2[[#This Row],[TTL 8]]+Tabel2[[#This Row],[TTL 9]]+Tabel2[[#This Row],[TTL 10]]</f>
        <v>0</v>
      </c>
      <c r="M197" s="157"/>
      <c r="N197" s="31"/>
      <c r="O197">
        <v>1</v>
      </c>
      <c r="S197" s="157">
        <f>SUM(Tabel2[[#This Row],[V 1]]*10+Tabel2[[#This Row],[GT 1]])/Tabel2[[#This Row],[AW 1]]*10+Tabel2[[#This Row],[BONUS 1]]</f>
        <v>0</v>
      </c>
      <c r="U197">
        <v>1</v>
      </c>
      <c r="Y197" s="23">
        <f>SUM(Tabel2[[#This Row],[V 2]]*10+Tabel2[[#This Row],[GT 2]])/Tabel2[[#This Row],[AW 2]]*10+Tabel2[[#This Row],[BONUS 2]]</f>
        <v>0</v>
      </c>
      <c r="AA197">
        <v>1</v>
      </c>
      <c r="AE197" s="23">
        <f>SUM(Tabel2[[#This Row],[V 3]]*10+Tabel2[[#This Row],[GT 3]])/Tabel2[[#This Row],[AW 3]]*10+Tabel2[[#This Row],[BONUS 3]]</f>
        <v>0</v>
      </c>
      <c r="AG197">
        <v>1</v>
      </c>
      <c r="AK197" s="23">
        <f>SUM(Tabel2[[#This Row],[V 4]]*10+Tabel2[[#This Row],[GT 4]])/Tabel2[[#This Row],[AW 4]]*10+Tabel2[[#This Row],[BONUS 4]]</f>
        <v>0</v>
      </c>
      <c r="AM197">
        <v>1</v>
      </c>
      <c r="AQ197" s="23">
        <f>SUM(Tabel2[[#This Row],[V 5]]*10+Tabel2[[#This Row],[GT 5]])/Tabel2[[#This Row],[AW 5]]*10+Tabel2[[#This Row],[BONUS 5]]</f>
        <v>0</v>
      </c>
      <c r="AS197">
        <v>1</v>
      </c>
      <c r="AW197" s="23">
        <f>SUM(Tabel2[[#This Row],[V 6]]*10+Tabel2[[#This Row],[GT 6]])/Tabel2[[#This Row],[AW 6]]*10+Tabel2[[#This Row],[BONUS 6]]</f>
        <v>0</v>
      </c>
      <c r="AY197">
        <v>1</v>
      </c>
      <c r="BC197" s="23">
        <f>SUM(Tabel2[[#This Row],[V 7]]*10+Tabel2[[#This Row],[GT 7]])/Tabel2[[#This Row],[AW 7]]*10+Tabel2[[#This Row],[BONUS 7]]</f>
        <v>0</v>
      </c>
      <c r="BE197">
        <v>1</v>
      </c>
      <c r="BI197" s="23">
        <f>SUM(Tabel2[[#This Row],[V 8]]*10+Tabel2[[#This Row],[GT 8]])/Tabel2[[#This Row],[AW 8]]*10+Tabel2[[#This Row],[BONUS 8]]</f>
        <v>0</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7" s="22">
        <v>0</v>
      </c>
      <c r="BX197" s="22">
        <f>Tabel2[[#This Row],[Diploma]]-Tabel2[[#This Row],[Uitgeschreven]]</f>
        <v>0</v>
      </c>
      <c r="BY197" s="155" t="str">
        <f t="shared" ref="BY197:BY260" si="20">IF(BX197=0,"geen actie",CONCATENATE("diploma uitschrijven: ",BV197," punten"))</f>
        <v>geen actie</v>
      </c>
      <c r="CA197" s="150">
        <f>Tabel2[[#This Row],[pnt t/m 2021/22]]</f>
        <v>0</v>
      </c>
      <c r="CB197" s="150">
        <f>Tabel2[[#This Row],[pnt 2022/2023]]</f>
        <v>0</v>
      </c>
      <c r="CC197" s="150">
        <f t="shared" si="18"/>
        <v>0</v>
      </c>
      <c r="CD197" s="150">
        <f>IF(Tabel2[[#This Row],[LPR 1]]&gt;0,1,0)</f>
        <v>0</v>
      </c>
      <c r="CE197" s="150">
        <f>IF(Tabel2[[#This Row],[LPR 2]]&gt;0,1,0)</f>
        <v>0</v>
      </c>
      <c r="CF197" s="150">
        <f>IF(Tabel2[[#This Row],[LPR 3]]&gt;0,1,0)</f>
        <v>0</v>
      </c>
      <c r="CG197" s="150">
        <f>IF(Tabel2[[#This Row],[LPR 4]]&gt;0,1,0)</f>
        <v>0</v>
      </c>
      <c r="CH197" s="150">
        <f>IF(Tabel2[[#This Row],[LPR 5]]&gt;0,1,0)</f>
        <v>0</v>
      </c>
      <c r="CI197" s="150">
        <f>IF(Tabel2[[#This Row],[LPR 6]]&gt;0,1,0)</f>
        <v>0</v>
      </c>
      <c r="CJ197" s="150">
        <f>IF(Tabel2[[#This Row],[LPR 7]]&gt;0,1,0)</f>
        <v>0</v>
      </c>
      <c r="CK197" s="150">
        <f>IF(Tabel2[[#This Row],[LPR 8]]&gt;0,1,0)</f>
        <v>0</v>
      </c>
      <c r="CL197" s="150">
        <f>IF(Tabel2[[#This Row],[LPR 9]]&gt;0,1,0)</f>
        <v>0</v>
      </c>
      <c r="CM197" s="150">
        <f>IF(Tabel2[[#This Row],[LPR 10]]&gt;0,1,0)</f>
        <v>0</v>
      </c>
      <c r="CN197" s="150">
        <f>SUM(Tabel7[[#This Row],[sep]:[jun]])</f>
        <v>0</v>
      </c>
      <c r="CO197" s="22" t="str">
        <f t="shared" si="13"/>
        <v/>
      </c>
      <c r="CP197" s="22" t="str">
        <f t="shared" si="14"/>
        <v/>
      </c>
      <c r="CQ197" s="22" t="str">
        <f t="shared" si="15"/>
        <v/>
      </c>
      <c r="CR197" s="22" t="str">
        <f t="shared" si="16"/>
        <v/>
      </c>
      <c r="CS197" s="22" t="str">
        <f t="shared" si="17"/>
        <v/>
      </c>
    </row>
    <row r="198" spans="1:97" x14ac:dyDescent="0.3">
      <c r="A198" s="22"/>
      <c r="B198" s="22" t="s">
        <v>779</v>
      </c>
      <c r="D198" s="22" t="s">
        <v>137</v>
      </c>
      <c r="G198" s="25"/>
      <c r="H198" s="154">
        <f>Tabel2[[#This Row],[pnt t/m 2021/22]]+Tabel2[[#This Row],[pnt 2022/2023]]</f>
        <v>0</v>
      </c>
      <c r="J198">
        <v>2023</v>
      </c>
      <c r="K198" s="24">
        <f>Tabel2[[#This Row],[ijkdatum]]-Tabel2[[#This Row],[Geboren]]</f>
        <v>2023</v>
      </c>
      <c r="L198" s="26">
        <f>Tabel2[[#This Row],[TTL 1]]+Tabel2[[#This Row],[TTL 2]]+Tabel2[[#This Row],[TTL 3]]+Tabel2[[#This Row],[TTL 4]]+Tabel2[[#This Row],[TTL 5]]+Tabel2[[#This Row],[TTL 6]]+Tabel2[[#This Row],[TTL 7]]+Tabel2[[#This Row],[TTL 8]]+Tabel2[[#This Row],[TTL 9]]+Tabel2[[#This Row],[TTL 10]]</f>
        <v>0</v>
      </c>
      <c r="M198" s="151"/>
      <c r="N198" s="31"/>
      <c r="O198">
        <v>1</v>
      </c>
      <c r="S198" s="27">
        <f>SUM(Tabel2[[#This Row],[V 1]]*10+Tabel2[[#This Row],[GT 1]])/Tabel2[[#This Row],[AW 1]]*10+Tabel2[[#This Row],[BONUS 1]]</f>
        <v>0</v>
      </c>
      <c r="U198">
        <v>1</v>
      </c>
      <c r="Y198" s="23">
        <f>SUM(Tabel2[[#This Row],[V 2]]*10+Tabel2[[#This Row],[GT 2]])/Tabel2[[#This Row],[AW 2]]*10+Tabel2[[#This Row],[BONUS 2]]</f>
        <v>0</v>
      </c>
      <c r="AA198">
        <v>1</v>
      </c>
      <c r="AE198" s="23">
        <f>SUM(Tabel2[[#This Row],[V 3]]*10+Tabel2[[#This Row],[GT 3]])/Tabel2[[#This Row],[AW 3]]*10+Tabel2[[#This Row],[BONUS 3]]</f>
        <v>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 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8" s="22">
        <v>0</v>
      </c>
      <c r="BX198" s="30">
        <f>Tabel2[[#This Row],[Diploma]]-Tabel2[[#This Row],[Uitgeschreven]]</f>
        <v>0</v>
      </c>
      <c r="BY198" s="2" t="str">
        <f t="shared" si="20"/>
        <v>geen actie</v>
      </c>
      <c r="CA198" s="150">
        <f>Tabel2[[#This Row],[pnt t/m 2021/22]]</f>
        <v>0</v>
      </c>
      <c r="CB198" s="150">
        <f>Tabel2[[#This Row],[pnt 2022/2023]]</f>
        <v>0</v>
      </c>
      <c r="CC198" s="150">
        <f t="shared" si="18"/>
        <v>0</v>
      </c>
      <c r="CD198" s="150">
        <f>IF(Tabel2[[#This Row],[LPR 1]]&gt;0,1,0)</f>
        <v>0</v>
      </c>
      <c r="CE198" s="150">
        <f>IF(Tabel2[[#This Row],[LPR 2]]&gt;0,1,0)</f>
        <v>0</v>
      </c>
      <c r="CF198" s="150">
        <f>IF(Tabel2[[#This Row],[LPR 3]]&gt;0,1,0)</f>
        <v>0</v>
      </c>
      <c r="CG198" s="150">
        <f>IF(Tabel2[[#This Row],[LPR 4]]&gt;0,1,0)</f>
        <v>0</v>
      </c>
      <c r="CH198" s="150">
        <f>IF(Tabel2[[#This Row],[LPR 5]]&gt;0,1,0)</f>
        <v>0</v>
      </c>
      <c r="CI198" s="150">
        <f>IF(Tabel2[[#This Row],[LPR 6]]&gt;0,1,0)</f>
        <v>0</v>
      </c>
      <c r="CJ198" s="150">
        <f>IF(Tabel2[[#This Row],[LPR 7]]&gt;0,1,0)</f>
        <v>0</v>
      </c>
      <c r="CK198" s="150">
        <f>IF(Tabel2[[#This Row],[LPR 8]]&gt;0,1,0)</f>
        <v>0</v>
      </c>
      <c r="CL198" s="150">
        <f>IF(Tabel2[[#This Row],[LPR 9]]&gt;0,1,0)</f>
        <v>0</v>
      </c>
      <c r="CM198" s="150">
        <f>IF(Tabel2[[#This Row],[LPR 10]]&gt;0,1,0)</f>
        <v>0</v>
      </c>
      <c r="CN198" s="150">
        <f>SUM(Tabel7[[#This Row],[sep]:[jun]])</f>
        <v>0</v>
      </c>
      <c r="CO198" s="22" t="str">
        <f t="shared" ref="CO198:CO249" si="21">IF(AND($CA198&lt;1000,$CC198&gt;1000),"x","")</f>
        <v/>
      </c>
      <c r="CP198" s="22" t="str">
        <f t="shared" ref="CP198:CP249" si="22">IF(AND($CA198&lt;1500,$CC198&gt;1500),"x","")</f>
        <v/>
      </c>
      <c r="CQ198" s="22" t="str">
        <f t="shared" ref="CQ198:CQ249" si="23">IF(AND($CA198&lt;2000,$CC198&gt;2000),"x","")</f>
        <v/>
      </c>
      <c r="CR198" s="22" t="str">
        <f t="shared" ref="CR198:CR249" si="24">IF(AND($CA198&lt;2500,$CC198&gt;2500),"x","")</f>
        <v/>
      </c>
      <c r="CS198" s="22" t="str">
        <f t="shared" ref="CS198:CS249" si="25">IF(AND($CA198&lt;3000,$CC198&gt;3000),"x","")</f>
        <v/>
      </c>
    </row>
    <row r="199" spans="1:97" x14ac:dyDescent="0.3">
      <c r="A199" s="22"/>
      <c r="B199" s="22" t="s">
        <v>779</v>
      </c>
      <c r="D199" s="22" t="s">
        <v>137</v>
      </c>
      <c r="G199" s="25"/>
      <c r="H199" s="154">
        <f>Tabel2[[#This Row],[pnt t/m 2021/22]]+Tabel2[[#This Row],[pnt 2022/2023]]</f>
        <v>0</v>
      </c>
      <c r="J199">
        <v>2023</v>
      </c>
      <c r="K199" s="24">
        <f>Tabel2[[#This Row],[ijkdatum]]-Tabel2[[#This Row],[Geboren]]</f>
        <v>2023</v>
      </c>
      <c r="L199" s="26">
        <f>Tabel2[[#This Row],[TTL 1]]+Tabel2[[#This Row],[TTL 2]]+Tabel2[[#This Row],[TTL 3]]+Tabel2[[#This Row],[TTL 4]]+Tabel2[[#This Row],[TTL 5]]+Tabel2[[#This Row],[TTL 6]]+Tabel2[[#This Row],[TTL 7]]+Tabel2[[#This Row],[TTL 8]]+Tabel2[[#This Row],[TTL 9]]+Tabel2[[#This Row],[TTL 10]]</f>
        <v>0</v>
      </c>
      <c r="M199" s="151"/>
      <c r="N199" s="31"/>
      <c r="O199">
        <v>1</v>
      </c>
      <c r="S199" s="27">
        <f>SUM(Tabel2[[#This Row],[V 1]]*10+Tabel2[[#This Row],[GT 1]])/Tabel2[[#This Row],[AW 1]]*10+Tabel2[[#This Row],[BONUS 1]]</f>
        <v>0</v>
      </c>
      <c r="U199">
        <v>1</v>
      </c>
      <c r="Y199" s="23">
        <f>SUM(Tabel2[[#This Row],[V 2]]*10+Tabel2[[#This Row],[GT 2]])/Tabel2[[#This Row],[AW 2]]*10+Tabel2[[#This Row],[BONUS 2]]</f>
        <v>0</v>
      </c>
      <c r="AA199">
        <v>1</v>
      </c>
      <c r="AE199" s="23">
        <f>SUM(Tabel2[[#This Row],[V 3]]*10+Tabel2[[#This Row],[GT 3]])/Tabel2[[#This Row],[AW 3]]*10+Tabel2[[#This Row],[BONUS 3]]</f>
        <v>0</v>
      </c>
      <c r="AG199">
        <v>1</v>
      </c>
      <c r="AK199" s="23">
        <f>SUM(Tabel2[[#This Row],[V 4]]*10+Tabel2[[#This Row],[GT 4]])/Tabel2[[#This Row],[AW 4]]*10+Tabel2[[#This Row],[BONUS 4]]</f>
        <v>0</v>
      </c>
      <c r="AM199">
        <v>1</v>
      </c>
      <c r="AQ199" s="23">
        <f>SUM(Tabel2[[#This Row],[V 5]]*10+Tabel2[[#This Row],[GT 5]])/Tabel2[[#This Row],[AW 5]]*10+Tabel2[[#This Row],[BONUS 5]]</f>
        <v>0</v>
      </c>
      <c r="AS199">
        <v>1</v>
      </c>
      <c r="AW199" s="23">
        <f>SUM(Tabel2[[#This Row],[V 6]]*10+Tabel2[[#This Row],[GT 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9" s="22">
        <v>0</v>
      </c>
      <c r="BX199" s="30">
        <f>Tabel2[[#This Row],[Diploma]]-Tabel2[[#This Row],[Uitgeschreven]]</f>
        <v>0</v>
      </c>
      <c r="BY199" s="2" t="str">
        <f t="shared" si="20"/>
        <v>geen actie</v>
      </c>
      <c r="CA199" s="150">
        <f>Tabel2[[#This Row],[pnt t/m 2021/22]]</f>
        <v>0</v>
      </c>
      <c r="CB199" s="150">
        <f>Tabel2[[#This Row],[pnt 2022/2023]]</f>
        <v>0</v>
      </c>
      <c r="CC199" s="150">
        <f t="shared" ref="CC199:CC219" si="26">CA199+CB199</f>
        <v>0</v>
      </c>
      <c r="CD199" s="150">
        <f>IF(Tabel2[[#This Row],[LPR 1]]&gt;0,1,0)</f>
        <v>0</v>
      </c>
      <c r="CE199" s="150">
        <f>IF(Tabel2[[#This Row],[LPR 2]]&gt;0,1,0)</f>
        <v>0</v>
      </c>
      <c r="CF199" s="150">
        <f>IF(Tabel2[[#This Row],[LPR 3]]&gt;0,1,0)</f>
        <v>0</v>
      </c>
      <c r="CG199" s="150">
        <f>IF(Tabel2[[#This Row],[LPR 4]]&gt;0,1,0)</f>
        <v>0</v>
      </c>
      <c r="CH199" s="150">
        <f>IF(Tabel2[[#This Row],[LPR 5]]&gt;0,1,0)</f>
        <v>0</v>
      </c>
      <c r="CI199" s="150">
        <f>IF(Tabel2[[#This Row],[LPR 6]]&gt;0,1,0)</f>
        <v>0</v>
      </c>
      <c r="CJ199" s="150">
        <f>IF(Tabel2[[#This Row],[LPR 7]]&gt;0,1,0)</f>
        <v>0</v>
      </c>
      <c r="CK199" s="150">
        <f>IF(Tabel2[[#This Row],[LPR 8]]&gt;0,1,0)</f>
        <v>0</v>
      </c>
      <c r="CL199" s="150">
        <f>IF(Tabel2[[#This Row],[LPR 9]]&gt;0,1,0)</f>
        <v>0</v>
      </c>
      <c r="CM199" s="150">
        <f>IF(Tabel2[[#This Row],[LPR 10]]&gt;0,1,0)</f>
        <v>0</v>
      </c>
      <c r="CN199" s="150">
        <f>SUM(Tabel7[[#This Row],[sep]:[jun]])</f>
        <v>0</v>
      </c>
      <c r="CO199" s="22" t="str">
        <f t="shared" si="21"/>
        <v/>
      </c>
      <c r="CP199" s="22" t="str">
        <f t="shared" si="22"/>
        <v/>
      </c>
      <c r="CQ199" s="22" t="str">
        <f t="shared" si="23"/>
        <v/>
      </c>
      <c r="CR199" s="22" t="str">
        <f t="shared" si="24"/>
        <v/>
      </c>
      <c r="CS199" s="22" t="str">
        <f t="shared" si="25"/>
        <v/>
      </c>
    </row>
    <row r="200" spans="1:97" x14ac:dyDescent="0.3">
      <c r="A200" s="22"/>
      <c r="B200" s="22" t="s">
        <v>779</v>
      </c>
      <c r="D200" s="22" t="s">
        <v>137</v>
      </c>
      <c r="H200" s="154">
        <f>Tabel2[[#This Row],[pnt t/m 2021/22]]+Tabel2[[#This Row],[pnt 2022/2023]]</f>
        <v>0</v>
      </c>
      <c r="J200">
        <v>2023</v>
      </c>
      <c r="K200" s="24">
        <f>Tabel2[[#This Row],[ijkdatum]]-Tabel2[[#This Row],[Geboren]]</f>
        <v>2023</v>
      </c>
      <c r="L200" s="26">
        <f>Tabel2[[#This Row],[TTL 1]]+Tabel2[[#This Row],[TTL 2]]+Tabel2[[#This Row],[TTL 3]]+Tabel2[[#This Row],[TTL 4]]+Tabel2[[#This Row],[TTL 5]]+Tabel2[[#This Row],[TTL 6]]+Tabel2[[#This Row],[TTL 7]]+Tabel2[[#This Row],[TTL 8]]+Tabel2[[#This Row],[TTL 9]]+Tabel2[[#This Row],[TTL 10]]</f>
        <v>0</v>
      </c>
      <c r="M200" s="151"/>
      <c r="N200" s="31"/>
      <c r="O200">
        <v>1</v>
      </c>
      <c r="S200" s="2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G200">
        <v>1</v>
      </c>
      <c r="AK200" s="27">
        <f>SUM(Tabel2[[#This Row],[V 4]]*10+Tabel2[[#This Row],[GT 4]])/Tabel2[[#This Row],[AW 4]]*10+Tabel2[[#This Row],[BONUS 4]]</f>
        <v>0</v>
      </c>
      <c r="AM200">
        <v>1</v>
      </c>
      <c r="AQ200" s="27">
        <f>SUM(Tabel2[[#This Row],[V 5]]*10+Tabel2[[#This Row],[GT 5]])/Tabel2[[#This Row],[AW 5]]*10+Tabel2[[#This Row],[BONUS 5]]</f>
        <v>0</v>
      </c>
      <c r="AS200">
        <v>1</v>
      </c>
      <c r="AW200" s="27">
        <f>SUM(Tabel2[[#This Row],[V 6]]*10+Tabel2[[#This Row],[GT 6]])/Tabel2[[#This Row],[AW 6]]*10+Tabel2[[#This Row],[BONUS 6]]</f>
        <v>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30">
        <f>Tabel2[[#This Row],[Diploma]]-Tabel2[[#This Row],[Uitgeschreven]]</f>
        <v>0</v>
      </c>
      <c r="BY200" s="14" t="str">
        <f t="shared" si="20"/>
        <v>geen actie</v>
      </c>
      <c r="CA200" s="150">
        <f>Tabel2[[#This Row],[pnt t/m 2021/22]]</f>
        <v>0</v>
      </c>
      <c r="CB200" s="150">
        <f>Tabel2[[#This Row],[pnt 2022/2023]]</f>
        <v>0</v>
      </c>
      <c r="CC200" s="150">
        <f t="shared" si="26"/>
        <v>0</v>
      </c>
      <c r="CD200" s="150">
        <f>IF(Tabel2[[#This Row],[LPR 1]]&gt;0,1,0)</f>
        <v>0</v>
      </c>
      <c r="CE200" s="150">
        <f>IF(Tabel2[[#This Row],[LPR 2]]&gt;0,1,0)</f>
        <v>0</v>
      </c>
      <c r="CF200" s="150">
        <f>IF(Tabel2[[#This Row],[LPR 3]]&gt;0,1,0)</f>
        <v>0</v>
      </c>
      <c r="CG200" s="150">
        <f>IF(Tabel2[[#This Row],[LPR 4]]&gt;0,1,0)</f>
        <v>0</v>
      </c>
      <c r="CH200" s="150">
        <f>IF(Tabel2[[#This Row],[LPR 5]]&gt;0,1,0)</f>
        <v>0</v>
      </c>
      <c r="CI200" s="150">
        <f>IF(Tabel2[[#This Row],[LPR 6]]&gt;0,1,0)</f>
        <v>0</v>
      </c>
      <c r="CJ200" s="150">
        <f>IF(Tabel2[[#This Row],[LPR 7]]&gt;0,1,0)</f>
        <v>0</v>
      </c>
      <c r="CK200" s="150">
        <f>IF(Tabel2[[#This Row],[LPR 8]]&gt;0,1,0)</f>
        <v>0</v>
      </c>
      <c r="CL200" s="150">
        <f>IF(Tabel2[[#This Row],[LPR 9]]&gt;0,1,0)</f>
        <v>0</v>
      </c>
      <c r="CM200" s="150">
        <f>IF(Tabel2[[#This Row],[LPR 10]]&gt;0,1,0)</f>
        <v>0</v>
      </c>
      <c r="CN200" s="150">
        <f>SUM(Tabel7[[#This Row],[sep]:[jun]])</f>
        <v>0</v>
      </c>
      <c r="CO200" s="22" t="str">
        <f t="shared" si="21"/>
        <v/>
      </c>
      <c r="CP200" s="22" t="str">
        <f t="shared" si="22"/>
        <v/>
      </c>
      <c r="CQ200" s="22" t="str">
        <f t="shared" si="23"/>
        <v/>
      </c>
      <c r="CR200" s="22" t="str">
        <f t="shared" si="24"/>
        <v/>
      </c>
      <c r="CS200" s="22" t="str">
        <f t="shared" si="25"/>
        <v/>
      </c>
    </row>
    <row r="201" spans="1:97" x14ac:dyDescent="0.3">
      <c r="A201" s="22"/>
      <c r="B201" s="22" t="s">
        <v>779</v>
      </c>
      <c r="D201" s="22" t="s">
        <v>137</v>
      </c>
      <c r="H201" s="154">
        <f>Tabel2[[#This Row],[pnt t/m 2021/22]]+Tabel2[[#This Row],[pnt 2022/2023]]</f>
        <v>0</v>
      </c>
      <c r="J201">
        <v>2023</v>
      </c>
      <c r="K201" s="24">
        <f>Tabel2[[#This Row],[ijkdatum]]-Tabel2[[#This Row],[Geboren]]</f>
        <v>2023</v>
      </c>
      <c r="L201" s="26">
        <f>Tabel2[[#This Row],[TTL 1]]+Tabel2[[#This Row],[TTL 2]]+Tabel2[[#This Row],[TTL 3]]+Tabel2[[#This Row],[TTL 4]]+Tabel2[[#This Row],[TTL 5]]+Tabel2[[#This Row],[TTL 6]]+Tabel2[[#This Row],[TTL 7]]+Tabel2[[#This Row],[TTL 8]]+Tabel2[[#This Row],[TTL 9]]+Tabel2[[#This Row],[TTL 10]]</f>
        <v>0</v>
      </c>
      <c r="M201" s="151"/>
      <c r="N201" s="31"/>
      <c r="O201">
        <v>1</v>
      </c>
      <c r="S201" s="27">
        <f>SUM(Tabel2[[#This Row],[V 1]]*10+Tabel2[[#This Row],[GT 1]])/Tabel2[[#This Row],[AW 1]]*10+Tabel2[[#This Row],[BONUS 1]]</f>
        <v>0</v>
      </c>
      <c r="U201">
        <v>1</v>
      </c>
      <c r="Y201" s="27">
        <f>SUM(Tabel2[[#This Row],[V 2]]*10+Tabel2[[#This Row],[GT 2]])/Tabel2[[#This Row],[AW 2]]*10+Tabel2[[#This Row],[BONUS 2]]</f>
        <v>0</v>
      </c>
      <c r="AA201">
        <v>1</v>
      </c>
      <c r="AE201" s="27">
        <f>SUM(Tabel2[[#This Row],[V 3]]*10+Tabel2[[#This Row],[GT 3]])/Tabel2[[#This Row],[AW 3]]*10+Tabel2[[#This Row],[BONUS 3]]</f>
        <v>0</v>
      </c>
      <c r="AG201">
        <v>1</v>
      </c>
      <c r="AK201" s="27">
        <f>SUM(Tabel2[[#This Row],[V 4]]*10+Tabel2[[#This Row],[GT 4]])/Tabel2[[#This Row],[AW 4]]*10+Tabel2[[#This Row],[BONUS 4]]</f>
        <v>0</v>
      </c>
      <c r="AM201">
        <v>1</v>
      </c>
      <c r="AQ201" s="27">
        <f>SUM(Tabel2[[#This Row],[V 5]]*10+Tabel2[[#This Row],[GT 5]])/Tabel2[[#This Row],[AW 5]]*10+Tabel2[[#This Row],[BONUS 5]]</f>
        <v>0</v>
      </c>
      <c r="AS201">
        <v>1</v>
      </c>
      <c r="AW201" s="27">
        <f>SUM(Tabel2[[#This Row],[V 6]]*10+Tabel2[[#This Row],[GT 6]])/Tabel2[[#This Row],[AW 6]]*10+Tabel2[[#This Row],[BONUS 6]]</f>
        <v>0</v>
      </c>
      <c r="AY201">
        <v>1</v>
      </c>
      <c r="BC201" s="27">
        <f>SUM(Tabel2[[#This Row],[V 7]]*10+Tabel2[[#This Row],[GT 7]])/Tabel2[[#This Row],[AW 7]]*10+Tabel2[[#This Row],[BONUS 7]]</f>
        <v>0</v>
      </c>
      <c r="BE201">
        <v>1</v>
      </c>
      <c r="BI201" s="27">
        <f>SUM(Tabel2[[#This Row],[V 8]]*10+Tabel2[[#This Row],[GT 8]])/Tabel2[[#This Row],[AW 8]]*10+Tabel2[[#This Row],[BONUS 8]]</f>
        <v>0</v>
      </c>
      <c r="BK201">
        <v>1</v>
      </c>
      <c r="BO201" s="27">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1" s="22">
        <v>0</v>
      </c>
      <c r="BX201" s="30">
        <f>Tabel2[[#This Row],[Diploma]]-Tabel2[[#This Row],[Uitgeschreven]]</f>
        <v>0</v>
      </c>
      <c r="BY201" s="14" t="str">
        <f t="shared" si="20"/>
        <v>geen actie</v>
      </c>
      <c r="CA201" s="150">
        <f>Tabel2[[#This Row],[pnt t/m 2021/22]]</f>
        <v>0</v>
      </c>
      <c r="CB201" s="150">
        <f>Tabel2[[#This Row],[pnt 2022/2023]]</f>
        <v>0</v>
      </c>
      <c r="CC201" s="150">
        <f t="shared" si="26"/>
        <v>0</v>
      </c>
      <c r="CD201" s="150">
        <f>IF(Tabel2[[#This Row],[LPR 1]]&gt;0,1,0)</f>
        <v>0</v>
      </c>
      <c r="CE201" s="150">
        <f>IF(Tabel2[[#This Row],[LPR 2]]&gt;0,1,0)</f>
        <v>0</v>
      </c>
      <c r="CF201" s="150">
        <f>IF(Tabel2[[#This Row],[LPR 3]]&gt;0,1,0)</f>
        <v>0</v>
      </c>
      <c r="CG201" s="150">
        <f>IF(Tabel2[[#This Row],[LPR 4]]&gt;0,1,0)</f>
        <v>0</v>
      </c>
      <c r="CH201" s="150">
        <f>IF(Tabel2[[#This Row],[LPR 5]]&gt;0,1,0)</f>
        <v>0</v>
      </c>
      <c r="CI201" s="150">
        <f>IF(Tabel2[[#This Row],[LPR 6]]&gt;0,1,0)</f>
        <v>0</v>
      </c>
      <c r="CJ201" s="150">
        <f>IF(Tabel2[[#This Row],[LPR 7]]&gt;0,1,0)</f>
        <v>0</v>
      </c>
      <c r="CK201" s="150">
        <f>IF(Tabel2[[#This Row],[LPR 8]]&gt;0,1,0)</f>
        <v>0</v>
      </c>
      <c r="CL201" s="150">
        <f>IF(Tabel2[[#This Row],[LPR 9]]&gt;0,1,0)</f>
        <v>0</v>
      </c>
      <c r="CM201" s="150">
        <f>IF(Tabel2[[#This Row],[LPR 10]]&gt;0,1,0)</f>
        <v>0</v>
      </c>
      <c r="CN201" s="150">
        <f>SUM(Tabel7[[#This Row],[sep]:[jun]])</f>
        <v>0</v>
      </c>
      <c r="CO201" s="22" t="str">
        <f t="shared" si="21"/>
        <v/>
      </c>
      <c r="CP201" s="22" t="str">
        <f t="shared" si="22"/>
        <v/>
      </c>
      <c r="CQ201" s="22" t="str">
        <f t="shared" si="23"/>
        <v/>
      </c>
      <c r="CR201" s="22" t="str">
        <f t="shared" si="24"/>
        <v/>
      </c>
      <c r="CS201" s="22" t="str">
        <f t="shared" si="25"/>
        <v/>
      </c>
    </row>
    <row r="202" spans="1:97" x14ac:dyDescent="0.3">
      <c r="A202" s="22"/>
      <c r="B202" s="22" t="s">
        <v>779</v>
      </c>
      <c r="D202" s="22" t="s">
        <v>137</v>
      </c>
      <c r="H202" s="154">
        <f>Tabel2[[#This Row],[pnt t/m 2021/22]]+Tabel2[[#This Row],[pnt 2022/2023]]</f>
        <v>0</v>
      </c>
      <c r="J202">
        <v>2023</v>
      </c>
      <c r="K202" s="24">
        <f>Tabel2[[#This Row],[ijkdatum]]-Tabel2[[#This Row],[Geboren]]</f>
        <v>2023</v>
      </c>
      <c r="L202" s="26">
        <f>Tabel2[[#This Row],[TTL 1]]+Tabel2[[#This Row],[TTL 2]]+Tabel2[[#This Row],[TTL 3]]+Tabel2[[#This Row],[TTL 4]]+Tabel2[[#This Row],[TTL 5]]+Tabel2[[#This Row],[TTL 6]]+Tabel2[[#This Row],[TTL 7]]+Tabel2[[#This Row],[TTL 8]]+Tabel2[[#This Row],[TTL 9]]+Tabel2[[#This Row],[TTL 10]]</f>
        <v>0</v>
      </c>
      <c r="M202" s="151"/>
      <c r="N202" s="31"/>
      <c r="O202">
        <v>1</v>
      </c>
      <c r="S202" s="27">
        <f>SUM(Tabel2[[#This Row],[V 1]]*10+Tabel2[[#This Row],[GT 1]])/Tabel2[[#This Row],[AW 1]]*10+Tabel2[[#This Row],[BONUS 1]]</f>
        <v>0</v>
      </c>
      <c r="U202">
        <v>1</v>
      </c>
      <c r="Y202" s="27">
        <f>SUM(Tabel2[[#This Row],[V 2]]*10+Tabel2[[#This Row],[GT 2]])/Tabel2[[#This Row],[AW 2]]*10+Tabel2[[#This Row],[BONUS 2]]</f>
        <v>0</v>
      </c>
      <c r="AA202">
        <v>1</v>
      </c>
      <c r="AE202" s="27">
        <f>SUM(Tabel2[[#This Row],[V 3]]*10+Tabel2[[#This Row],[GT 3]])/Tabel2[[#This Row],[AW 3]]*10+Tabel2[[#This Row],[BONUS 3]]</f>
        <v>0</v>
      </c>
      <c r="AG202">
        <v>1</v>
      </c>
      <c r="AK202" s="27">
        <f>SUM(Tabel2[[#This Row],[V 4]]*10+Tabel2[[#This Row],[GT 4]])/Tabel2[[#This Row],[AW 4]]*10+Tabel2[[#This Row],[BONUS 4]]</f>
        <v>0</v>
      </c>
      <c r="AM202">
        <v>1</v>
      </c>
      <c r="AQ202" s="27">
        <f>SUM(Tabel2[[#This Row],[V 5]]*10+Tabel2[[#This Row],[GT 5]])/Tabel2[[#This Row],[AW 5]]*10+Tabel2[[#This Row],[BONUS 5]]</f>
        <v>0</v>
      </c>
      <c r="AS202">
        <v>1</v>
      </c>
      <c r="AW202" s="27">
        <f>SUM(Tabel2[[#This Row],[V 6]]*10+Tabel2[[#This Row],[GT 6]])/Tabel2[[#This Row],[AW 6]]*10+Tabel2[[#This Row],[BONUS 6]]</f>
        <v>0</v>
      </c>
      <c r="AY202">
        <v>1</v>
      </c>
      <c r="BC202" s="27">
        <f>SUM(Tabel2[[#This Row],[V 7]]*10+Tabel2[[#This Row],[GT 7]])/Tabel2[[#This Row],[AW 7]]*10+Tabel2[[#This Row],[BONUS 7]]</f>
        <v>0</v>
      </c>
      <c r="BE202">
        <v>1</v>
      </c>
      <c r="BI202" s="27">
        <f>SUM(Tabel2[[#This Row],[V 8]]*10+Tabel2[[#This Row],[GT 8]])/Tabel2[[#This Row],[AW 8]]*10+Tabel2[[#This Row],[BONUS 8]]</f>
        <v>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2" s="22">
        <v>0</v>
      </c>
      <c r="BX202" s="30">
        <f>Tabel2[[#This Row],[Diploma]]-Tabel2[[#This Row],[Uitgeschreven]]</f>
        <v>0</v>
      </c>
      <c r="BY202" s="14" t="str">
        <f t="shared" si="20"/>
        <v>geen actie</v>
      </c>
      <c r="CA202" s="150">
        <f>Tabel2[[#This Row],[pnt t/m 2021/22]]</f>
        <v>0</v>
      </c>
      <c r="CB202" s="150">
        <f>Tabel2[[#This Row],[pnt 2022/2023]]</f>
        <v>0</v>
      </c>
      <c r="CC202" s="150">
        <f t="shared" si="26"/>
        <v>0</v>
      </c>
      <c r="CD202" s="150">
        <f>IF(Tabel2[[#This Row],[LPR 1]]&gt;0,1,0)</f>
        <v>0</v>
      </c>
      <c r="CE202" s="150">
        <f>IF(Tabel2[[#This Row],[LPR 2]]&gt;0,1,0)</f>
        <v>0</v>
      </c>
      <c r="CF202" s="150">
        <f>IF(Tabel2[[#This Row],[LPR 3]]&gt;0,1,0)</f>
        <v>0</v>
      </c>
      <c r="CG202" s="150">
        <f>IF(Tabel2[[#This Row],[LPR 4]]&gt;0,1,0)</f>
        <v>0</v>
      </c>
      <c r="CH202" s="150">
        <f>IF(Tabel2[[#This Row],[LPR 5]]&gt;0,1,0)</f>
        <v>0</v>
      </c>
      <c r="CI202" s="150">
        <f>IF(Tabel2[[#This Row],[LPR 6]]&gt;0,1,0)</f>
        <v>0</v>
      </c>
      <c r="CJ202" s="150">
        <f>IF(Tabel2[[#This Row],[LPR 7]]&gt;0,1,0)</f>
        <v>0</v>
      </c>
      <c r="CK202" s="150">
        <f>IF(Tabel2[[#This Row],[LPR 8]]&gt;0,1,0)</f>
        <v>0</v>
      </c>
      <c r="CL202" s="150">
        <f>IF(Tabel2[[#This Row],[LPR 9]]&gt;0,1,0)</f>
        <v>0</v>
      </c>
      <c r="CM202" s="150">
        <f>IF(Tabel2[[#This Row],[LPR 10]]&gt;0,1,0)</f>
        <v>0</v>
      </c>
      <c r="CN202" s="150">
        <f>SUM(Tabel7[[#This Row],[sep]:[jun]])</f>
        <v>0</v>
      </c>
      <c r="CO202" s="22" t="str">
        <f t="shared" si="21"/>
        <v/>
      </c>
      <c r="CP202" s="22" t="str">
        <f t="shared" si="22"/>
        <v/>
      </c>
      <c r="CQ202" s="22" t="str">
        <f t="shared" si="23"/>
        <v/>
      </c>
      <c r="CR202" s="22" t="str">
        <f t="shared" si="24"/>
        <v/>
      </c>
      <c r="CS202" s="22" t="str">
        <f t="shared" si="25"/>
        <v/>
      </c>
    </row>
    <row r="203" spans="1:97" x14ac:dyDescent="0.3">
      <c r="A203" s="22"/>
      <c r="B203" s="22" t="s">
        <v>779</v>
      </c>
      <c r="D203" s="22" t="s">
        <v>137</v>
      </c>
      <c r="H203" s="154">
        <f>Tabel2[[#This Row],[pnt t/m 2021/22]]+Tabel2[[#This Row],[pnt 2022/2023]]</f>
        <v>0</v>
      </c>
      <c r="J203">
        <v>2023</v>
      </c>
      <c r="K203" s="24">
        <f>Tabel2[[#This Row],[ijkdatum]]-Tabel2[[#This Row],[Geboren]]</f>
        <v>2023</v>
      </c>
      <c r="L203" s="26">
        <f>Tabel2[[#This Row],[TTL 1]]+Tabel2[[#This Row],[TTL 2]]+Tabel2[[#This Row],[TTL 3]]+Tabel2[[#This Row],[TTL 4]]+Tabel2[[#This Row],[TTL 5]]+Tabel2[[#This Row],[TTL 6]]+Tabel2[[#This Row],[TTL 7]]+Tabel2[[#This Row],[TTL 8]]+Tabel2[[#This Row],[TTL 9]]+Tabel2[[#This Row],[TTL 10]]</f>
        <v>0</v>
      </c>
      <c r="M203" s="151"/>
      <c r="N203" s="31"/>
      <c r="O203">
        <v>1</v>
      </c>
      <c r="S203" s="27">
        <f>SUM(Tabel2[[#This Row],[V 1]]*10+Tabel2[[#This Row],[GT 1]])/Tabel2[[#This Row],[AW 1]]*10+Tabel2[[#This Row],[BONUS 1]]</f>
        <v>0</v>
      </c>
      <c r="U203">
        <v>1</v>
      </c>
      <c r="Y203" s="27">
        <f>SUM(Tabel2[[#This Row],[V 2]]*10+Tabel2[[#This Row],[GT 2]])/Tabel2[[#This Row],[AW 2]]*10+Tabel2[[#This Row],[BONUS 2]]</f>
        <v>0</v>
      </c>
      <c r="AA203">
        <v>1</v>
      </c>
      <c r="AE203" s="27">
        <f>SUM(Tabel2[[#This Row],[V 3]]*10+Tabel2[[#This Row],[GT 3]])/Tabel2[[#This Row],[AW 3]]*10+Tabel2[[#This Row],[BONUS 3]]</f>
        <v>0</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 6]])/Tabel2[[#This Row],[AW 6]]*10+Tabel2[[#This Row],[BONUS 6]]</f>
        <v>0</v>
      </c>
      <c r="AY203">
        <v>1</v>
      </c>
      <c r="BC203" s="27">
        <f>SUM(Tabel2[[#This Row],[V 7]]*10+Tabel2[[#This Row],[GT 7]])/Tabel2[[#This Row],[AW 7]]*10+Tabel2[[#This Row],[BONUS 7]]</f>
        <v>0</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3" s="22">
        <v>0</v>
      </c>
      <c r="BX203" s="30">
        <f>Tabel2[[#This Row],[Diploma]]-Tabel2[[#This Row],[Uitgeschreven]]</f>
        <v>0</v>
      </c>
      <c r="BY203" s="14" t="str">
        <f t="shared" si="20"/>
        <v>geen actie</v>
      </c>
      <c r="CA203" s="150">
        <f>Tabel2[[#This Row],[pnt t/m 2021/22]]</f>
        <v>0</v>
      </c>
      <c r="CB203" s="150">
        <f>Tabel2[[#This Row],[pnt 2022/2023]]</f>
        <v>0</v>
      </c>
      <c r="CC203" s="150">
        <f t="shared" si="26"/>
        <v>0</v>
      </c>
      <c r="CD203" s="150">
        <f>IF(Tabel2[[#This Row],[LPR 1]]&gt;0,1,0)</f>
        <v>0</v>
      </c>
      <c r="CE203" s="150">
        <f>IF(Tabel2[[#This Row],[LPR 2]]&gt;0,1,0)</f>
        <v>0</v>
      </c>
      <c r="CF203" s="150">
        <f>IF(Tabel2[[#This Row],[LPR 3]]&gt;0,1,0)</f>
        <v>0</v>
      </c>
      <c r="CG203" s="150">
        <f>IF(Tabel2[[#This Row],[LPR 4]]&gt;0,1,0)</f>
        <v>0</v>
      </c>
      <c r="CH203" s="150">
        <f>IF(Tabel2[[#This Row],[LPR 5]]&gt;0,1,0)</f>
        <v>0</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0</v>
      </c>
      <c r="CO203" s="22" t="str">
        <f t="shared" si="21"/>
        <v/>
      </c>
      <c r="CP203" s="22" t="str">
        <f t="shared" si="22"/>
        <v/>
      </c>
      <c r="CQ203" s="22" t="str">
        <f t="shared" si="23"/>
        <v/>
      </c>
      <c r="CR203" s="22" t="str">
        <f t="shared" si="24"/>
        <v/>
      </c>
      <c r="CS203" s="22" t="str">
        <f t="shared" si="25"/>
        <v/>
      </c>
    </row>
    <row r="204" spans="1:97" x14ac:dyDescent="0.3">
      <c r="A204" s="22"/>
      <c r="B204" s="22" t="s">
        <v>779</v>
      </c>
      <c r="D204" s="22" t="s">
        <v>137</v>
      </c>
      <c r="G204" s="25"/>
      <c r="H204" s="154">
        <f>Tabel2[[#This Row],[pnt t/m 2021/22]]+Tabel2[[#This Row],[pnt 2022/2023]]</f>
        <v>0</v>
      </c>
      <c r="J204">
        <v>2023</v>
      </c>
      <c r="K204" s="24">
        <f>Tabel2[[#This Row],[ijkdatum]]-Tabel2[[#This Row],[Geboren]]</f>
        <v>2023</v>
      </c>
      <c r="L204" s="26">
        <f>Tabel2[[#This Row],[TTL 1]]+Tabel2[[#This Row],[TTL 2]]+Tabel2[[#This Row],[TTL 3]]+Tabel2[[#This Row],[TTL 4]]+Tabel2[[#This Row],[TTL 5]]+Tabel2[[#This Row],[TTL 6]]+Tabel2[[#This Row],[TTL 7]]+Tabel2[[#This Row],[TTL 8]]+Tabel2[[#This Row],[TTL 9]]+Tabel2[[#This Row],[TTL 10]]</f>
        <v>0</v>
      </c>
      <c r="M204" s="151"/>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 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30">
        <f>Tabel2[[#This Row],[Diploma]]-Tabel2[[#This Row],[Uitgeschreven]]</f>
        <v>0</v>
      </c>
      <c r="BY204" s="14" t="str">
        <f t="shared" si="20"/>
        <v>geen actie</v>
      </c>
      <c r="CA204" s="150">
        <f>Tabel2[[#This Row],[pnt t/m 2021/22]]</f>
        <v>0</v>
      </c>
      <c r="CB204" s="150">
        <f>Tabel2[[#This Row],[pnt 2022/2023]]</f>
        <v>0</v>
      </c>
      <c r="CC204" s="150">
        <f t="shared" si="26"/>
        <v>0</v>
      </c>
      <c r="CD204" s="150">
        <f>IF(Tabel2[[#This Row],[LPR 1]]&gt;0,1,0)</f>
        <v>0</v>
      </c>
      <c r="CE204" s="150">
        <f>IF(Tabel2[[#This Row],[LPR 2]]&gt;0,1,0)</f>
        <v>0</v>
      </c>
      <c r="CF204" s="150">
        <f>IF(Tabel2[[#This Row],[LPR 3]]&gt;0,1,0)</f>
        <v>0</v>
      </c>
      <c r="CG204" s="150">
        <f>IF(Tabel2[[#This Row],[LPR 4]]&gt;0,1,0)</f>
        <v>0</v>
      </c>
      <c r="CH204" s="150">
        <f>IF(Tabel2[[#This Row],[LPR 5]]&gt;0,1,0)</f>
        <v>0</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0</v>
      </c>
      <c r="CO204" s="22" t="str">
        <f t="shared" si="21"/>
        <v/>
      </c>
      <c r="CP204" s="22" t="str">
        <f t="shared" si="22"/>
        <v/>
      </c>
      <c r="CQ204" s="22" t="str">
        <f t="shared" si="23"/>
        <v/>
      </c>
      <c r="CR204" s="22" t="str">
        <f t="shared" si="24"/>
        <v/>
      </c>
      <c r="CS204" s="22" t="str">
        <f t="shared" si="25"/>
        <v/>
      </c>
    </row>
    <row r="205" spans="1:97" x14ac:dyDescent="0.3">
      <c r="A205" s="22"/>
      <c r="B205" s="22" t="s">
        <v>779</v>
      </c>
      <c r="D205" s="22" t="s">
        <v>137</v>
      </c>
      <c r="G205" s="25"/>
      <c r="H205" s="154">
        <f>Tabel2[[#This Row],[pnt t/m 2021/22]]+Tabel2[[#This Row],[pnt 2022/2023]]</f>
        <v>0</v>
      </c>
      <c r="J205">
        <v>2023</v>
      </c>
      <c r="K205" s="24">
        <f>Tabel2[[#This Row],[ijkdatum]]-Tabel2[[#This Row],[Geboren]]</f>
        <v>2023</v>
      </c>
      <c r="L205" s="26">
        <f>Tabel2[[#This Row],[TTL 1]]+Tabel2[[#This Row],[TTL 2]]+Tabel2[[#This Row],[TTL 3]]+Tabel2[[#This Row],[TTL 4]]+Tabel2[[#This Row],[TTL 5]]+Tabel2[[#This Row],[TTL 6]]+Tabel2[[#This Row],[TTL 7]]+Tabel2[[#This Row],[TTL 8]]+Tabel2[[#This Row],[TTL 9]]+Tabel2[[#This Row],[TTL 10]]</f>
        <v>0</v>
      </c>
      <c r="M205" s="151"/>
      <c r="N205" s="31"/>
      <c r="O205">
        <v>1</v>
      </c>
      <c r="S205" s="27">
        <f>SUM(Tabel2[[#This Row],[V 1]]*10+Tabel2[[#This Row],[GT 1]])/Tabel2[[#This Row],[AW 1]]*10+Tabel2[[#This Row],[BONUS 1]]</f>
        <v>0</v>
      </c>
      <c r="U205">
        <v>1</v>
      </c>
      <c r="Y205" s="27">
        <f>SUM(Tabel2[[#This Row],[V 2]]*10+Tabel2[[#This Row],[GT 2]])/Tabel2[[#This Row],[AW 2]]*10+Tabel2[[#This Row],[BONUS 2]]</f>
        <v>0</v>
      </c>
      <c r="AA205">
        <v>1</v>
      </c>
      <c r="AE205" s="27">
        <f>SUM(Tabel2[[#This Row],[V 3]]*10+Tabel2[[#This Row],[GT 3]])/Tabel2[[#This Row],[AW 3]]*10+Tabel2[[#This Row],[BONUS 3]]</f>
        <v>0</v>
      </c>
      <c r="AG205">
        <v>1</v>
      </c>
      <c r="AK205" s="27">
        <f>SUM(Tabel2[[#This Row],[V 4]]*10+Tabel2[[#This Row],[GT 4]])/Tabel2[[#This Row],[AW 4]]*10+Tabel2[[#This Row],[BONUS 4]]</f>
        <v>0</v>
      </c>
      <c r="AM205">
        <v>1</v>
      </c>
      <c r="AQ205" s="27">
        <f>SUM(Tabel2[[#This Row],[V 5]]*10+Tabel2[[#This Row],[GT 5]])/Tabel2[[#This Row],[AW 5]]*10+Tabel2[[#This Row],[BONUS 5]]</f>
        <v>0</v>
      </c>
      <c r="AS205">
        <v>1</v>
      </c>
      <c r="AW205" s="27">
        <f>SUM(Tabel2[[#This Row],[V 6]]*10+Tabel2[[#This Row],[GT 6]])/Tabel2[[#This Row],[AW 6]]*10+Tabel2[[#This Row],[BONUS 6]]</f>
        <v>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5" s="22">
        <v>0</v>
      </c>
      <c r="BX205" s="30">
        <f>Tabel2[[#This Row],[Diploma]]-Tabel2[[#This Row],[Uitgeschreven]]</f>
        <v>0</v>
      </c>
      <c r="BY205" s="14" t="str">
        <f t="shared" si="20"/>
        <v>geen actie</v>
      </c>
      <c r="CA205" s="150">
        <f>Tabel2[[#This Row],[pnt t/m 2021/22]]</f>
        <v>0</v>
      </c>
      <c r="CB205" s="150">
        <f>Tabel2[[#This Row],[pnt 2022/2023]]</f>
        <v>0</v>
      </c>
      <c r="CC205" s="150">
        <f t="shared" si="26"/>
        <v>0</v>
      </c>
      <c r="CD205" s="150">
        <f>IF(Tabel2[[#This Row],[LPR 1]]&gt;0,1,0)</f>
        <v>0</v>
      </c>
      <c r="CE205" s="150">
        <f>IF(Tabel2[[#This Row],[LPR 2]]&gt;0,1,0)</f>
        <v>0</v>
      </c>
      <c r="CF205" s="150">
        <f>IF(Tabel2[[#This Row],[LPR 3]]&gt;0,1,0)</f>
        <v>0</v>
      </c>
      <c r="CG205" s="150">
        <f>IF(Tabel2[[#This Row],[LPR 4]]&gt;0,1,0)</f>
        <v>0</v>
      </c>
      <c r="CH205" s="150">
        <f>IF(Tabel2[[#This Row],[LPR 5]]&gt;0,1,0)</f>
        <v>0</v>
      </c>
      <c r="CI205" s="150">
        <f>IF(Tabel2[[#This Row],[LPR 6]]&gt;0,1,0)</f>
        <v>0</v>
      </c>
      <c r="CJ205" s="150">
        <f>IF(Tabel2[[#This Row],[LPR 7]]&gt;0,1,0)</f>
        <v>0</v>
      </c>
      <c r="CK205" s="150">
        <f>IF(Tabel2[[#This Row],[LPR 8]]&gt;0,1,0)</f>
        <v>0</v>
      </c>
      <c r="CL205" s="150">
        <f>IF(Tabel2[[#This Row],[LPR 9]]&gt;0,1,0)</f>
        <v>0</v>
      </c>
      <c r="CM205" s="150">
        <f>IF(Tabel2[[#This Row],[LPR 10]]&gt;0,1,0)</f>
        <v>0</v>
      </c>
      <c r="CN205" s="150">
        <f>SUM(Tabel7[[#This Row],[sep]:[jun]])</f>
        <v>0</v>
      </c>
      <c r="CO205" s="22" t="str">
        <f t="shared" si="21"/>
        <v/>
      </c>
      <c r="CP205" s="22" t="str">
        <f t="shared" si="22"/>
        <v/>
      </c>
      <c r="CQ205" s="22" t="str">
        <f t="shared" si="23"/>
        <v/>
      </c>
      <c r="CR205" s="22" t="str">
        <f t="shared" si="24"/>
        <v/>
      </c>
      <c r="CS205" s="22" t="str">
        <f t="shared" si="25"/>
        <v/>
      </c>
    </row>
    <row r="206" spans="1:97" x14ac:dyDescent="0.3">
      <c r="A206" s="22"/>
      <c r="B206" s="22" t="s">
        <v>779</v>
      </c>
      <c r="D206" s="22" t="s">
        <v>137</v>
      </c>
      <c r="G206" s="25"/>
      <c r="H206" s="154">
        <f>Tabel2[[#This Row],[pnt t/m 2021/22]]+Tabel2[[#This Row],[pnt 2022/2023]]</f>
        <v>0</v>
      </c>
      <c r="J206">
        <v>2023</v>
      </c>
      <c r="K206" s="24">
        <f>Tabel2[[#This Row],[ijkdatum]]-Tabel2[[#This Row],[Geboren]]</f>
        <v>2023</v>
      </c>
      <c r="L206" s="26">
        <f>Tabel2[[#This Row],[TTL 1]]+Tabel2[[#This Row],[TTL 2]]+Tabel2[[#This Row],[TTL 3]]+Tabel2[[#This Row],[TTL 4]]+Tabel2[[#This Row],[TTL 5]]+Tabel2[[#This Row],[TTL 6]]+Tabel2[[#This Row],[TTL 7]]+Tabel2[[#This Row],[TTL 8]]+Tabel2[[#This Row],[TTL 9]]+Tabel2[[#This Row],[TTL 10]]</f>
        <v>0</v>
      </c>
      <c r="M206" s="151"/>
      <c r="N206" s="31"/>
      <c r="O206">
        <v>1</v>
      </c>
      <c r="S206" s="27">
        <f>SUM(Tabel2[[#This Row],[V 1]]*10+Tabel2[[#This Row],[GT 1]])/Tabel2[[#This Row],[AW 1]]*10+Tabel2[[#This Row],[BONUS 1]]</f>
        <v>0</v>
      </c>
      <c r="U206">
        <v>1</v>
      </c>
      <c r="Y206" s="27">
        <f>SUM(Tabel2[[#This Row],[V 2]]*10+Tabel2[[#This Row],[GT 2]])/Tabel2[[#This Row],[AW 2]]*10+Tabel2[[#This Row],[BONUS 2]]</f>
        <v>0</v>
      </c>
      <c r="AA206">
        <v>1</v>
      </c>
      <c r="AE206" s="27">
        <f>SUM(Tabel2[[#This Row],[V 3]]*10+Tabel2[[#This Row],[GT 3]])/Tabel2[[#This Row],[AW 3]]*10+Tabel2[[#This Row],[BONUS 3]]</f>
        <v>0</v>
      </c>
      <c r="AG206">
        <v>1</v>
      </c>
      <c r="AK206" s="27">
        <f>SUM(Tabel2[[#This Row],[V 4]]*10+Tabel2[[#This Row],[GT 4]])/Tabel2[[#This Row],[AW 4]]*10+Tabel2[[#This Row],[BONUS 4]]</f>
        <v>0</v>
      </c>
      <c r="AM206">
        <v>1</v>
      </c>
      <c r="AQ206" s="27">
        <f>SUM(Tabel2[[#This Row],[V 5]]*10+Tabel2[[#This Row],[GT 5]])/Tabel2[[#This Row],[AW 5]]*10+Tabel2[[#This Row],[BONUS 5]]</f>
        <v>0</v>
      </c>
      <c r="AS206">
        <v>1</v>
      </c>
      <c r="AW206" s="27">
        <f>SUM(Tabel2[[#This Row],[V 6]]*10+Tabel2[[#This Row],[GT 6]])/Tabel2[[#This Row],[AW 6]]*10+Tabel2[[#This Row],[BONUS 6]]</f>
        <v>0</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6" s="22">
        <v>0</v>
      </c>
      <c r="BX206" s="30">
        <f>Tabel2[[#This Row],[Diploma]]-Tabel2[[#This Row],[Uitgeschreven]]</f>
        <v>0</v>
      </c>
      <c r="BY206" s="14" t="str">
        <f t="shared" si="20"/>
        <v>geen actie</v>
      </c>
      <c r="CA206" s="150">
        <f>Tabel2[[#This Row],[pnt t/m 2021/22]]</f>
        <v>0</v>
      </c>
      <c r="CB206" s="150">
        <f>Tabel2[[#This Row],[pnt 2022/2023]]</f>
        <v>0</v>
      </c>
      <c r="CC206" s="150">
        <f t="shared" si="26"/>
        <v>0</v>
      </c>
      <c r="CD206" s="150">
        <f>IF(Tabel2[[#This Row],[LPR 1]]&gt;0,1,0)</f>
        <v>0</v>
      </c>
      <c r="CE206" s="150">
        <f>IF(Tabel2[[#This Row],[LPR 2]]&gt;0,1,0)</f>
        <v>0</v>
      </c>
      <c r="CF206" s="150">
        <f>IF(Tabel2[[#This Row],[LPR 3]]&gt;0,1,0)</f>
        <v>0</v>
      </c>
      <c r="CG206" s="150">
        <f>IF(Tabel2[[#This Row],[LPR 4]]&gt;0,1,0)</f>
        <v>0</v>
      </c>
      <c r="CH206" s="150">
        <f>IF(Tabel2[[#This Row],[LPR 5]]&gt;0,1,0)</f>
        <v>0</v>
      </c>
      <c r="CI206" s="150">
        <f>IF(Tabel2[[#This Row],[LPR 6]]&gt;0,1,0)</f>
        <v>0</v>
      </c>
      <c r="CJ206" s="150">
        <f>IF(Tabel2[[#This Row],[LPR 7]]&gt;0,1,0)</f>
        <v>0</v>
      </c>
      <c r="CK206" s="150">
        <f>IF(Tabel2[[#This Row],[LPR 8]]&gt;0,1,0)</f>
        <v>0</v>
      </c>
      <c r="CL206" s="150">
        <f>IF(Tabel2[[#This Row],[LPR 9]]&gt;0,1,0)</f>
        <v>0</v>
      </c>
      <c r="CM206" s="150">
        <f>IF(Tabel2[[#This Row],[LPR 10]]&gt;0,1,0)</f>
        <v>0</v>
      </c>
      <c r="CN206" s="150">
        <f>SUM(Tabel7[[#This Row],[sep]:[jun]])</f>
        <v>0</v>
      </c>
      <c r="CO206" s="22" t="str">
        <f t="shared" si="21"/>
        <v/>
      </c>
      <c r="CP206" s="22" t="str">
        <f t="shared" si="22"/>
        <v/>
      </c>
      <c r="CQ206" s="22" t="str">
        <f t="shared" si="23"/>
        <v/>
      </c>
      <c r="CR206" s="22" t="str">
        <f t="shared" si="24"/>
        <v/>
      </c>
      <c r="CS206" s="22" t="str">
        <f t="shared" si="25"/>
        <v/>
      </c>
    </row>
    <row r="207" spans="1:97" x14ac:dyDescent="0.3">
      <c r="A207" s="22"/>
      <c r="B207" s="22" t="s">
        <v>779</v>
      </c>
      <c r="D207" s="22" t="s">
        <v>137</v>
      </c>
      <c r="G207" s="25"/>
      <c r="H207" s="154">
        <f>Tabel2[[#This Row],[pnt t/m 2021/22]]+Tabel2[[#This Row],[pnt 2022/2023]]</f>
        <v>0</v>
      </c>
      <c r="J207">
        <v>2023</v>
      </c>
      <c r="K207" s="24">
        <f>Tabel2[[#This Row],[ijkdatum]]-Tabel2[[#This Row],[Geboren]]</f>
        <v>2023</v>
      </c>
      <c r="L207" s="26">
        <f>Tabel2[[#This Row],[TTL 1]]+Tabel2[[#This Row],[TTL 2]]+Tabel2[[#This Row],[TTL 3]]+Tabel2[[#This Row],[TTL 4]]+Tabel2[[#This Row],[TTL 5]]+Tabel2[[#This Row],[TTL 6]]+Tabel2[[#This Row],[TTL 7]]+Tabel2[[#This Row],[TTL 8]]+Tabel2[[#This Row],[TTL 9]]+Tabel2[[#This Row],[TTL 10]]</f>
        <v>0</v>
      </c>
      <c r="M207" s="151"/>
      <c r="N207" s="31"/>
      <c r="O207">
        <v>1</v>
      </c>
      <c r="S207" s="27">
        <f>SUM(Tabel2[[#This Row],[V 1]]*10+Tabel2[[#This Row],[GT 1]])/Tabel2[[#This Row],[AW 1]]*10+Tabel2[[#This Row],[BONUS 1]]</f>
        <v>0</v>
      </c>
      <c r="U207">
        <v>1</v>
      </c>
      <c r="Y207" s="27">
        <f>SUM(Tabel2[[#This Row],[V 2]]*10+Tabel2[[#This Row],[GT 2]])/Tabel2[[#This Row],[AW 2]]*10+Tabel2[[#This Row],[BONUS 2]]</f>
        <v>0</v>
      </c>
      <c r="AA207">
        <v>1</v>
      </c>
      <c r="AE207" s="27">
        <f>SUM(Tabel2[[#This Row],[V 3]]*10+Tabel2[[#This Row],[GT 3]])/Tabel2[[#This Row],[AW 3]]*10+Tabel2[[#This Row],[BONUS 3]]</f>
        <v>0</v>
      </c>
      <c r="AG207">
        <v>1</v>
      </c>
      <c r="AK207" s="27">
        <f>SUM(Tabel2[[#This Row],[V 4]]*10+Tabel2[[#This Row],[GT 4]])/Tabel2[[#This Row],[AW 4]]*10+Tabel2[[#This Row],[BONUS 4]]</f>
        <v>0</v>
      </c>
      <c r="AM207">
        <v>1</v>
      </c>
      <c r="AQ207" s="27">
        <f>SUM(Tabel2[[#This Row],[V 5]]*10+Tabel2[[#This Row],[GT 5]])/Tabel2[[#This Row],[AW 5]]*10+Tabel2[[#This Row],[BONUS 5]]</f>
        <v>0</v>
      </c>
      <c r="AS207">
        <v>1</v>
      </c>
      <c r="AW207" s="27">
        <f>SUM(Tabel2[[#This Row],[V 6]]*10+Tabel2[[#This Row],[GT 6]])/Tabel2[[#This Row],[AW 6]]*10+Tabel2[[#This Row],[BONUS 6]]</f>
        <v>0</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30">
        <f>Tabel2[[#This Row],[Diploma]]-Tabel2[[#This Row],[Uitgeschreven]]</f>
        <v>0</v>
      </c>
      <c r="BY207" s="14" t="str">
        <f t="shared" si="20"/>
        <v>geen actie</v>
      </c>
      <c r="CA207" s="150">
        <f>Tabel2[[#This Row],[pnt t/m 2021/22]]</f>
        <v>0</v>
      </c>
      <c r="CB207" s="150">
        <f>Tabel2[[#This Row],[pnt 2022/2023]]</f>
        <v>0</v>
      </c>
      <c r="CC207" s="150">
        <f t="shared" si="26"/>
        <v>0</v>
      </c>
      <c r="CD207" s="150">
        <f>IF(Tabel2[[#This Row],[LPR 1]]&gt;0,1,0)</f>
        <v>0</v>
      </c>
      <c r="CE207" s="150">
        <f>IF(Tabel2[[#This Row],[LPR 2]]&gt;0,1,0)</f>
        <v>0</v>
      </c>
      <c r="CF207" s="150">
        <f>IF(Tabel2[[#This Row],[LPR 3]]&gt;0,1,0)</f>
        <v>0</v>
      </c>
      <c r="CG207" s="150">
        <f>IF(Tabel2[[#This Row],[LPR 4]]&gt;0,1,0)</f>
        <v>0</v>
      </c>
      <c r="CH207" s="150">
        <f>IF(Tabel2[[#This Row],[LPR 5]]&gt;0,1,0)</f>
        <v>0</v>
      </c>
      <c r="CI207" s="150">
        <f>IF(Tabel2[[#This Row],[LPR 6]]&gt;0,1,0)</f>
        <v>0</v>
      </c>
      <c r="CJ207" s="150">
        <f>IF(Tabel2[[#This Row],[LPR 7]]&gt;0,1,0)</f>
        <v>0</v>
      </c>
      <c r="CK207" s="150">
        <f>IF(Tabel2[[#This Row],[LPR 8]]&gt;0,1,0)</f>
        <v>0</v>
      </c>
      <c r="CL207" s="150">
        <f>IF(Tabel2[[#This Row],[LPR 9]]&gt;0,1,0)</f>
        <v>0</v>
      </c>
      <c r="CM207" s="150">
        <f>IF(Tabel2[[#This Row],[LPR 10]]&gt;0,1,0)</f>
        <v>0</v>
      </c>
      <c r="CN207" s="150">
        <f>SUM(Tabel7[[#This Row],[sep]:[jun]])</f>
        <v>0</v>
      </c>
      <c r="CO207" s="22" t="str">
        <f t="shared" si="21"/>
        <v/>
      </c>
      <c r="CP207" s="22" t="str">
        <f t="shared" si="22"/>
        <v/>
      </c>
      <c r="CQ207" s="22" t="str">
        <f t="shared" si="23"/>
        <v/>
      </c>
      <c r="CR207" s="22" t="str">
        <f t="shared" si="24"/>
        <v/>
      </c>
      <c r="CS207" s="22" t="str">
        <f t="shared" si="25"/>
        <v/>
      </c>
    </row>
    <row r="208" spans="1:97" x14ac:dyDescent="0.3">
      <c r="A208" s="22"/>
      <c r="B208" s="22" t="s">
        <v>779</v>
      </c>
      <c r="D208" s="22" t="s">
        <v>137</v>
      </c>
      <c r="H208" s="154">
        <f>Tabel2[[#This Row],[pnt t/m 2021/22]]+Tabel2[[#This Row],[pnt 2022/2023]]</f>
        <v>0</v>
      </c>
      <c r="J208">
        <v>2023</v>
      </c>
      <c r="K208" s="24">
        <f>Tabel2[[#This Row],[ijkdatum]]-Tabel2[[#This Row],[Geboren]]</f>
        <v>2023</v>
      </c>
      <c r="L208" s="26">
        <f>Tabel2[[#This Row],[TTL 1]]+Tabel2[[#This Row],[TTL 2]]+Tabel2[[#This Row],[TTL 3]]+Tabel2[[#This Row],[TTL 4]]+Tabel2[[#This Row],[TTL 5]]+Tabel2[[#This Row],[TTL 6]]+Tabel2[[#This Row],[TTL 7]]+Tabel2[[#This Row],[TTL 8]]+Tabel2[[#This Row],[TTL 9]]+Tabel2[[#This Row],[TTL 10]]</f>
        <v>0</v>
      </c>
      <c r="M208" s="151"/>
      <c r="N208" s="31"/>
      <c r="O208">
        <v>1</v>
      </c>
      <c r="S208" s="27">
        <f>SUM(Tabel2[[#This Row],[V 1]]*10+Tabel2[[#This Row],[GT 1]])/Tabel2[[#This Row],[AW 1]]*10+Tabel2[[#This Row],[BONUS 1]]</f>
        <v>0</v>
      </c>
      <c r="U208">
        <v>1</v>
      </c>
      <c r="Y208" s="27">
        <f>SUM(Tabel2[[#This Row],[V 2]]*10+Tabel2[[#This Row],[GT 2]])/Tabel2[[#This Row],[AW 2]]*10+Tabel2[[#This Row],[BONUS 2]]</f>
        <v>0</v>
      </c>
      <c r="AA208">
        <v>1</v>
      </c>
      <c r="AE208" s="27">
        <f>SUM(Tabel2[[#This Row],[V 3]]*10+Tabel2[[#This Row],[GT 3]])/Tabel2[[#This Row],[AW 3]]*10+Tabel2[[#This Row],[BONUS 3]]</f>
        <v>0</v>
      </c>
      <c r="AG208">
        <v>1</v>
      </c>
      <c r="AK208" s="27">
        <f>SUM(Tabel2[[#This Row],[V 4]]*10+Tabel2[[#This Row],[GT 4]])/Tabel2[[#This Row],[AW 4]]*10+Tabel2[[#This Row],[BONUS 4]]</f>
        <v>0</v>
      </c>
      <c r="AM208">
        <v>1</v>
      </c>
      <c r="AQ208" s="27">
        <f>SUM(Tabel2[[#This Row],[V 5]]*10+Tabel2[[#This Row],[GT 5]])/Tabel2[[#This Row],[AW 5]]*10+Tabel2[[#This Row],[BONUS 5]]</f>
        <v>0</v>
      </c>
      <c r="AS208">
        <v>1</v>
      </c>
      <c r="AW208" s="27">
        <f>SUM(Tabel2[[#This Row],[V 6]]*10+Tabel2[[#This Row],[GT 6]])/Tabel2[[#This Row],[AW 6]]*10+Tabel2[[#This Row],[BONUS 6]]</f>
        <v>0</v>
      </c>
      <c r="AY208">
        <v>1</v>
      </c>
      <c r="BC208" s="27">
        <f>SUM(Tabel2[[#This Row],[V 7]]*10+Tabel2[[#This Row],[GT 7]])/Tabel2[[#This Row],[AW 7]]*10+Tabel2[[#This Row],[BONUS 7]]</f>
        <v>0</v>
      </c>
      <c r="BE208">
        <v>1</v>
      </c>
      <c r="BI208" s="27">
        <f>SUM(Tabel2[[#This Row],[V 8]]*10+Tabel2[[#This Row],[GT 8]])/Tabel2[[#This Row],[AW 8]]*10+Tabel2[[#This Row],[BONUS 8]]</f>
        <v>0</v>
      </c>
      <c r="BK208">
        <v>1</v>
      </c>
      <c r="BO208" s="27">
        <f>SUM(Tabel2[[#This Row],[V 9]]*10+Tabel2[[#This Row],[GT 9]])/Tabel2[[#This Row],[AW 9]]*10+Tabel2[[#This Row],[BONUS 9]]</f>
        <v>0</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8" s="22">
        <v>0</v>
      </c>
      <c r="BX208" s="30">
        <f>Tabel2[[#This Row],[Diploma]]-Tabel2[[#This Row],[Uitgeschreven]]</f>
        <v>0</v>
      </c>
      <c r="BY208" s="14" t="str">
        <f t="shared" si="20"/>
        <v>geen actie</v>
      </c>
      <c r="CA208" s="150">
        <f>Tabel2[[#This Row],[pnt t/m 2021/22]]</f>
        <v>0</v>
      </c>
      <c r="CB208" s="150">
        <f>Tabel2[[#This Row],[pnt 2022/2023]]</f>
        <v>0</v>
      </c>
      <c r="CC208" s="150">
        <f t="shared" si="26"/>
        <v>0</v>
      </c>
      <c r="CD208" s="150">
        <f>IF(Tabel2[[#This Row],[LPR 1]]&gt;0,1,0)</f>
        <v>0</v>
      </c>
      <c r="CE208" s="150">
        <f>IF(Tabel2[[#This Row],[LPR 2]]&gt;0,1,0)</f>
        <v>0</v>
      </c>
      <c r="CF208" s="150">
        <f>IF(Tabel2[[#This Row],[LPR 3]]&gt;0,1,0)</f>
        <v>0</v>
      </c>
      <c r="CG208" s="150">
        <f>IF(Tabel2[[#This Row],[LPR 4]]&gt;0,1,0)</f>
        <v>0</v>
      </c>
      <c r="CH208" s="150">
        <f>IF(Tabel2[[#This Row],[LPR 5]]&gt;0,1,0)</f>
        <v>0</v>
      </c>
      <c r="CI208" s="150">
        <f>IF(Tabel2[[#This Row],[LPR 6]]&gt;0,1,0)</f>
        <v>0</v>
      </c>
      <c r="CJ208" s="150">
        <f>IF(Tabel2[[#This Row],[LPR 7]]&gt;0,1,0)</f>
        <v>0</v>
      </c>
      <c r="CK208" s="150">
        <f>IF(Tabel2[[#This Row],[LPR 8]]&gt;0,1,0)</f>
        <v>0</v>
      </c>
      <c r="CL208" s="150">
        <f>IF(Tabel2[[#This Row],[LPR 9]]&gt;0,1,0)</f>
        <v>0</v>
      </c>
      <c r="CM208" s="150">
        <f>IF(Tabel2[[#This Row],[LPR 10]]&gt;0,1,0)</f>
        <v>0</v>
      </c>
      <c r="CN208" s="150">
        <f>SUM(Tabel7[[#This Row],[sep]:[jun]])</f>
        <v>0</v>
      </c>
      <c r="CO208" s="22" t="str">
        <f t="shared" si="21"/>
        <v/>
      </c>
      <c r="CP208" s="22" t="str">
        <f t="shared" si="22"/>
        <v/>
      </c>
      <c r="CQ208" s="22" t="str">
        <f t="shared" si="23"/>
        <v/>
      </c>
      <c r="CR208" s="22" t="str">
        <f t="shared" si="24"/>
        <v/>
      </c>
      <c r="CS208" s="22" t="str">
        <f t="shared" si="25"/>
        <v/>
      </c>
    </row>
    <row r="209" spans="1:97" x14ac:dyDescent="0.3">
      <c r="A209" s="22"/>
      <c r="B209" s="22" t="s">
        <v>779</v>
      </c>
      <c r="D209" s="22" t="s">
        <v>137</v>
      </c>
      <c r="H209" s="154">
        <f>Tabel2[[#This Row],[pnt t/m 2021/22]]+Tabel2[[#This Row],[pnt 2022/2023]]</f>
        <v>0</v>
      </c>
      <c r="J209">
        <v>2023</v>
      </c>
      <c r="K209" s="24">
        <f>Tabel2[[#This Row],[ijkdatum]]-Tabel2[[#This Row],[Geboren]]</f>
        <v>2023</v>
      </c>
      <c r="L209" s="26">
        <f>Tabel2[[#This Row],[TTL 1]]+Tabel2[[#This Row],[TTL 2]]+Tabel2[[#This Row],[TTL 3]]+Tabel2[[#This Row],[TTL 4]]+Tabel2[[#This Row],[TTL 5]]+Tabel2[[#This Row],[TTL 6]]+Tabel2[[#This Row],[TTL 7]]+Tabel2[[#This Row],[TTL 8]]+Tabel2[[#This Row],[TTL 9]]+Tabel2[[#This Row],[TTL 10]]</f>
        <v>0</v>
      </c>
      <c r="M209" s="151"/>
      <c r="N209" s="31"/>
      <c r="O209">
        <v>1</v>
      </c>
      <c r="S209" s="27">
        <f>SUM(Tabel2[[#This Row],[V 1]]*10+Tabel2[[#This Row],[GT 1]])/Tabel2[[#This Row],[AW 1]]*10+Tabel2[[#This Row],[BONUS 1]]</f>
        <v>0</v>
      </c>
      <c r="U209">
        <v>1</v>
      </c>
      <c r="Y209" s="27">
        <f>SUM(Tabel2[[#This Row],[V 2]]*10+Tabel2[[#This Row],[GT 2]])/Tabel2[[#This Row],[AW 2]]*10+Tabel2[[#This Row],[BONUS 2]]</f>
        <v>0</v>
      </c>
      <c r="AA209">
        <v>1</v>
      </c>
      <c r="AE209" s="27">
        <f>SUM(Tabel2[[#This Row],[V 3]]*10+Tabel2[[#This Row],[GT 3]])/Tabel2[[#This Row],[AW 3]]*10+Tabel2[[#This Row],[BONUS 3]]</f>
        <v>0</v>
      </c>
      <c r="AG209">
        <v>1</v>
      </c>
      <c r="AK209" s="27">
        <f>SUM(Tabel2[[#This Row],[V 4]]*10+Tabel2[[#This Row],[GT 4]])/Tabel2[[#This Row],[AW 4]]*10+Tabel2[[#This Row],[BONUS 4]]</f>
        <v>0</v>
      </c>
      <c r="AM209">
        <v>1</v>
      </c>
      <c r="AQ209" s="27">
        <f>SUM(Tabel2[[#This Row],[V 5]]*10+Tabel2[[#This Row],[GT 5]])/Tabel2[[#This Row],[AW 5]]*10+Tabel2[[#This Row],[BONUS 5]]</f>
        <v>0</v>
      </c>
      <c r="AS209">
        <v>1</v>
      </c>
      <c r="AW209" s="27">
        <f>SUM(Tabel2[[#This Row],[V 6]]*10+Tabel2[[#This Row],[GT 6]])/Tabel2[[#This Row],[AW 6]]*10+Tabel2[[#This Row],[BONUS 6]]</f>
        <v>0</v>
      </c>
      <c r="AY209">
        <v>1</v>
      </c>
      <c r="BC209" s="27">
        <f>SUM(Tabel2[[#This Row],[V 7]]*10+Tabel2[[#This Row],[GT 7]])/Tabel2[[#This Row],[AW 7]]*10+Tabel2[[#This Row],[BONUS 7]]</f>
        <v>0</v>
      </c>
      <c r="BE209">
        <v>1</v>
      </c>
      <c r="BI209" s="27">
        <f>SUM(Tabel2[[#This Row],[V 8]]*10+Tabel2[[#This Row],[GT 8]])/Tabel2[[#This Row],[AW 8]]*10+Tabel2[[#This Row],[BONUS 8]]</f>
        <v>0</v>
      </c>
      <c r="BK209">
        <v>1</v>
      </c>
      <c r="BO209" s="27">
        <f>SUM(Tabel2[[#This Row],[V 9]]*10+Tabel2[[#This Row],[GT 9]])/Tabel2[[#This Row],[AW 9]]*10+Tabel2[[#This Row],[BONUS 9]]</f>
        <v>0</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9" s="22">
        <v>0</v>
      </c>
      <c r="BX209" s="30">
        <f>Tabel2[[#This Row],[Diploma]]-Tabel2[[#This Row],[Uitgeschreven]]</f>
        <v>0</v>
      </c>
      <c r="BY209" s="14" t="str">
        <f t="shared" si="20"/>
        <v>geen actie</v>
      </c>
      <c r="CA209" s="150">
        <f>Tabel2[[#This Row],[pnt t/m 2021/22]]</f>
        <v>0</v>
      </c>
      <c r="CB209" s="150">
        <f>Tabel2[[#This Row],[pnt 2022/2023]]</f>
        <v>0</v>
      </c>
      <c r="CC209" s="150">
        <f t="shared" si="26"/>
        <v>0</v>
      </c>
      <c r="CD209" s="150">
        <f>IF(Tabel2[[#This Row],[LPR 1]]&gt;0,1,0)</f>
        <v>0</v>
      </c>
      <c r="CE209" s="150">
        <f>IF(Tabel2[[#This Row],[LPR 2]]&gt;0,1,0)</f>
        <v>0</v>
      </c>
      <c r="CF209" s="150">
        <f>IF(Tabel2[[#This Row],[LPR 3]]&gt;0,1,0)</f>
        <v>0</v>
      </c>
      <c r="CG209" s="150">
        <f>IF(Tabel2[[#This Row],[LPR 4]]&gt;0,1,0)</f>
        <v>0</v>
      </c>
      <c r="CH209" s="150">
        <f>IF(Tabel2[[#This Row],[LPR 5]]&gt;0,1,0)</f>
        <v>0</v>
      </c>
      <c r="CI209" s="150">
        <f>IF(Tabel2[[#This Row],[LPR 6]]&gt;0,1,0)</f>
        <v>0</v>
      </c>
      <c r="CJ209" s="150">
        <f>IF(Tabel2[[#This Row],[LPR 7]]&gt;0,1,0)</f>
        <v>0</v>
      </c>
      <c r="CK209" s="150">
        <f>IF(Tabel2[[#This Row],[LPR 8]]&gt;0,1,0)</f>
        <v>0</v>
      </c>
      <c r="CL209" s="150">
        <f>IF(Tabel2[[#This Row],[LPR 9]]&gt;0,1,0)</f>
        <v>0</v>
      </c>
      <c r="CM209" s="150">
        <f>IF(Tabel2[[#This Row],[LPR 10]]&gt;0,1,0)</f>
        <v>0</v>
      </c>
      <c r="CN209" s="150">
        <f>SUM(Tabel7[[#This Row],[sep]:[jun]])</f>
        <v>0</v>
      </c>
      <c r="CO209" s="22" t="str">
        <f t="shared" si="21"/>
        <v/>
      </c>
      <c r="CP209" s="22" t="str">
        <f t="shared" si="22"/>
        <v/>
      </c>
      <c r="CQ209" s="22" t="str">
        <f t="shared" si="23"/>
        <v/>
      </c>
      <c r="CR209" s="22" t="str">
        <f t="shared" si="24"/>
        <v/>
      </c>
      <c r="CS209" s="22" t="str">
        <f t="shared" si="25"/>
        <v/>
      </c>
    </row>
    <row r="210" spans="1:97" x14ac:dyDescent="0.3">
      <c r="A210" s="22"/>
      <c r="B210" s="22" t="s">
        <v>779</v>
      </c>
      <c r="D210" s="22" t="s">
        <v>137</v>
      </c>
      <c r="H210" s="154">
        <f>Tabel2[[#This Row],[pnt t/m 2021/22]]+Tabel2[[#This Row],[pnt 2022/2023]]</f>
        <v>0</v>
      </c>
      <c r="J210">
        <v>2023</v>
      </c>
      <c r="K210" s="24">
        <f>Tabel2[[#This Row],[ijkdatum]]-Tabel2[[#This Row],[Geboren]]</f>
        <v>2023</v>
      </c>
      <c r="L210" s="26">
        <f>Tabel2[[#This Row],[TTL 1]]+Tabel2[[#This Row],[TTL 2]]+Tabel2[[#This Row],[TTL 3]]+Tabel2[[#This Row],[TTL 4]]+Tabel2[[#This Row],[TTL 5]]+Tabel2[[#This Row],[TTL 6]]+Tabel2[[#This Row],[TTL 7]]+Tabel2[[#This Row],[TTL 8]]+Tabel2[[#This Row],[TTL 9]]+Tabel2[[#This Row],[TTL 10]]</f>
        <v>0</v>
      </c>
      <c r="M210" s="151"/>
      <c r="N210" s="31"/>
      <c r="O210">
        <v>1</v>
      </c>
      <c r="S210" s="27">
        <f>SUM(Tabel2[[#This Row],[V 1]]*10+Tabel2[[#This Row],[GT 1]])/Tabel2[[#This Row],[AW 1]]*10+Tabel2[[#This Row],[BONUS 1]]</f>
        <v>0</v>
      </c>
      <c r="U210">
        <v>1</v>
      </c>
      <c r="Y210" s="27">
        <f>SUM(Tabel2[[#This Row],[V 2]]*10+Tabel2[[#This Row],[GT 2]])/Tabel2[[#This Row],[AW 2]]*10+Tabel2[[#This Row],[BONUS 2]]</f>
        <v>0</v>
      </c>
      <c r="AA210">
        <v>1</v>
      </c>
      <c r="AE210" s="27">
        <f>SUM(Tabel2[[#This Row],[V 3]]*10+Tabel2[[#This Row],[GT 3]])/Tabel2[[#This Row],[AW 3]]*10+Tabel2[[#This Row],[BONUS 3]]</f>
        <v>0</v>
      </c>
      <c r="AG210">
        <v>1</v>
      </c>
      <c r="AK210" s="27">
        <f>SUM(Tabel2[[#This Row],[V 4]]*10+Tabel2[[#This Row],[GT 4]])/Tabel2[[#This Row],[AW 4]]*10+Tabel2[[#This Row],[BONUS 4]]</f>
        <v>0</v>
      </c>
      <c r="AM210">
        <v>1</v>
      </c>
      <c r="AQ210" s="27">
        <f>SUM(Tabel2[[#This Row],[V 5]]*10+Tabel2[[#This Row],[GT 5]])/Tabel2[[#This Row],[AW 5]]*10+Tabel2[[#This Row],[BONUS 5]]</f>
        <v>0</v>
      </c>
      <c r="AS210">
        <v>1</v>
      </c>
      <c r="AW210" s="27">
        <f>SUM(Tabel2[[#This Row],[V 6]]*10+Tabel2[[#This Row],[GT 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30">
        <f>Tabel2[[#This Row],[Diploma]]-Tabel2[[#This Row],[Uitgeschreven]]</f>
        <v>0</v>
      </c>
      <c r="BY210" s="14" t="str">
        <f t="shared" si="20"/>
        <v>geen actie</v>
      </c>
      <c r="CA210" s="150">
        <f>Tabel2[[#This Row],[pnt t/m 2021/22]]</f>
        <v>0</v>
      </c>
      <c r="CB210" s="150">
        <f>Tabel2[[#This Row],[pnt 2022/2023]]</f>
        <v>0</v>
      </c>
      <c r="CC210" s="150">
        <f t="shared" si="26"/>
        <v>0</v>
      </c>
      <c r="CD210" s="150">
        <f>IF(Tabel2[[#This Row],[LPR 1]]&gt;0,1,0)</f>
        <v>0</v>
      </c>
      <c r="CE210" s="150">
        <f>IF(Tabel2[[#This Row],[LPR 2]]&gt;0,1,0)</f>
        <v>0</v>
      </c>
      <c r="CF210" s="150">
        <f>IF(Tabel2[[#This Row],[LPR 3]]&gt;0,1,0)</f>
        <v>0</v>
      </c>
      <c r="CG210" s="150">
        <f>IF(Tabel2[[#This Row],[LPR 4]]&gt;0,1,0)</f>
        <v>0</v>
      </c>
      <c r="CH210" s="150">
        <f>IF(Tabel2[[#This Row],[LPR 5]]&gt;0,1,0)</f>
        <v>0</v>
      </c>
      <c r="CI210" s="150">
        <f>IF(Tabel2[[#This Row],[LPR 6]]&gt;0,1,0)</f>
        <v>0</v>
      </c>
      <c r="CJ210" s="150">
        <f>IF(Tabel2[[#This Row],[LPR 7]]&gt;0,1,0)</f>
        <v>0</v>
      </c>
      <c r="CK210" s="150">
        <f>IF(Tabel2[[#This Row],[LPR 8]]&gt;0,1,0)</f>
        <v>0</v>
      </c>
      <c r="CL210" s="150">
        <f>IF(Tabel2[[#This Row],[LPR 9]]&gt;0,1,0)</f>
        <v>0</v>
      </c>
      <c r="CM210" s="150">
        <f>IF(Tabel2[[#This Row],[LPR 10]]&gt;0,1,0)</f>
        <v>0</v>
      </c>
      <c r="CN210" s="150">
        <f>SUM(Tabel7[[#This Row],[sep]:[jun]])</f>
        <v>0</v>
      </c>
      <c r="CO210" s="22" t="str">
        <f t="shared" si="21"/>
        <v/>
      </c>
      <c r="CP210" s="22" t="str">
        <f t="shared" si="22"/>
        <v/>
      </c>
      <c r="CQ210" s="22" t="str">
        <f t="shared" si="23"/>
        <v/>
      </c>
      <c r="CR210" s="22" t="str">
        <f t="shared" si="24"/>
        <v/>
      </c>
      <c r="CS210" s="22" t="str">
        <f t="shared" si="25"/>
        <v/>
      </c>
    </row>
    <row r="211" spans="1:97" x14ac:dyDescent="0.3">
      <c r="A211" s="22"/>
      <c r="B211" s="22" t="s">
        <v>779</v>
      </c>
      <c r="D211" s="22" t="s">
        <v>137</v>
      </c>
      <c r="H211" s="154">
        <f>Tabel2[[#This Row],[pnt t/m 2021/22]]+Tabel2[[#This Row],[pnt 2022/2023]]</f>
        <v>0</v>
      </c>
      <c r="J211">
        <v>2023</v>
      </c>
      <c r="K211" s="24">
        <f>Tabel2[[#This Row],[ijkdatum]]-Tabel2[[#This Row],[Geboren]]</f>
        <v>2023</v>
      </c>
      <c r="L211" s="26">
        <f>Tabel2[[#This Row],[TTL 1]]+Tabel2[[#This Row],[TTL 2]]+Tabel2[[#This Row],[TTL 3]]+Tabel2[[#This Row],[TTL 4]]+Tabel2[[#This Row],[TTL 5]]+Tabel2[[#This Row],[TTL 6]]+Tabel2[[#This Row],[TTL 7]]+Tabel2[[#This Row],[TTL 8]]+Tabel2[[#This Row],[TTL 9]]+Tabel2[[#This Row],[TTL 10]]</f>
        <v>0</v>
      </c>
      <c r="M211" s="151"/>
      <c r="N211" s="31"/>
      <c r="O211">
        <v>1</v>
      </c>
      <c r="S211" s="27">
        <f>SUM(Tabel2[[#This Row],[V 1]]*10+Tabel2[[#This Row],[GT 1]])/Tabel2[[#This Row],[AW 1]]*10+Tabel2[[#This Row],[BONUS 1]]</f>
        <v>0</v>
      </c>
      <c r="U211">
        <v>1</v>
      </c>
      <c r="Y211" s="27">
        <f>SUM(Tabel2[[#This Row],[V 2]]*10+Tabel2[[#This Row],[GT 2]])/Tabel2[[#This Row],[AW 2]]*10+Tabel2[[#This Row],[BONUS 2]]</f>
        <v>0</v>
      </c>
      <c r="AA211">
        <v>1</v>
      </c>
      <c r="AE211" s="27">
        <f>SUM(Tabel2[[#This Row],[V 3]]*10+Tabel2[[#This Row],[GT 3]])/Tabel2[[#This Row],[AW 3]]*10+Tabel2[[#This Row],[BONUS 3]]</f>
        <v>0</v>
      </c>
      <c r="AG211">
        <v>1</v>
      </c>
      <c r="AK211" s="27">
        <f>SUM(Tabel2[[#This Row],[V 4]]*10+Tabel2[[#This Row],[GT 4]])/Tabel2[[#This Row],[AW 4]]*10+Tabel2[[#This Row],[BONUS 4]]</f>
        <v>0</v>
      </c>
      <c r="AM211">
        <v>1</v>
      </c>
      <c r="AQ211" s="27">
        <f>SUM(Tabel2[[#This Row],[V 5]]*10+Tabel2[[#This Row],[GT 5]])/Tabel2[[#This Row],[AW 5]]*10+Tabel2[[#This Row],[BONUS 5]]</f>
        <v>0</v>
      </c>
      <c r="AS211">
        <v>1</v>
      </c>
      <c r="AW211" s="27">
        <f>SUM(Tabel2[[#This Row],[V 6]]*10+Tabel2[[#This Row],[GT 6]])/Tabel2[[#This Row],[AW 6]]*10+Tabel2[[#This Row],[BONUS 6]]</f>
        <v>0</v>
      </c>
      <c r="AY211">
        <v>1</v>
      </c>
      <c r="BC211" s="27">
        <f>SUM(Tabel2[[#This Row],[V 7]]*10+Tabel2[[#This Row],[GT 7]])/Tabel2[[#This Row],[AW 7]]*10+Tabel2[[#This Row],[BONUS 7]]</f>
        <v>0</v>
      </c>
      <c r="BE211">
        <v>1</v>
      </c>
      <c r="BI211" s="27">
        <f>SUM(Tabel2[[#This Row],[V 8]]*10+Tabel2[[#This Row],[GT 8]])/Tabel2[[#This Row],[AW 8]]*10+Tabel2[[#This Row],[BONUS 8]]</f>
        <v>0</v>
      </c>
      <c r="BK211">
        <v>1</v>
      </c>
      <c r="BO211" s="2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1" s="22">
        <v>0</v>
      </c>
      <c r="BX211" s="30">
        <f>Tabel2[[#This Row],[Diploma]]-Tabel2[[#This Row],[Uitgeschreven]]</f>
        <v>0</v>
      </c>
      <c r="BY211" s="14" t="str">
        <f t="shared" si="20"/>
        <v>geen actie</v>
      </c>
      <c r="CA211" s="150">
        <f>Tabel2[[#This Row],[pnt t/m 2021/22]]</f>
        <v>0</v>
      </c>
      <c r="CB211" s="150">
        <f>Tabel2[[#This Row],[pnt 2022/2023]]</f>
        <v>0</v>
      </c>
      <c r="CC211" s="150">
        <f t="shared" si="26"/>
        <v>0</v>
      </c>
      <c r="CD211" s="150">
        <f>IF(Tabel2[[#This Row],[LPR 1]]&gt;0,1,0)</f>
        <v>0</v>
      </c>
      <c r="CE211" s="150">
        <f>IF(Tabel2[[#This Row],[LPR 2]]&gt;0,1,0)</f>
        <v>0</v>
      </c>
      <c r="CF211" s="150">
        <f>IF(Tabel2[[#This Row],[LPR 3]]&gt;0,1,0)</f>
        <v>0</v>
      </c>
      <c r="CG211" s="150">
        <f>IF(Tabel2[[#This Row],[LPR 4]]&gt;0,1,0)</f>
        <v>0</v>
      </c>
      <c r="CH211" s="150">
        <f>IF(Tabel2[[#This Row],[LPR 5]]&gt;0,1,0)</f>
        <v>0</v>
      </c>
      <c r="CI211" s="150">
        <f>IF(Tabel2[[#This Row],[LPR 6]]&gt;0,1,0)</f>
        <v>0</v>
      </c>
      <c r="CJ211" s="150">
        <f>IF(Tabel2[[#This Row],[LPR 7]]&gt;0,1,0)</f>
        <v>0</v>
      </c>
      <c r="CK211" s="150">
        <f>IF(Tabel2[[#This Row],[LPR 8]]&gt;0,1,0)</f>
        <v>0</v>
      </c>
      <c r="CL211" s="150">
        <f>IF(Tabel2[[#This Row],[LPR 9]]&gt;0,1,0)</f>
        <v>0</v>
      </c>
      <c r="CM211" s="150">
        <f>IF(Tabel2[[#This Row],[LPR 10]]&gt;0,1,0)</f>
        <v>0</v>
      </c>
      <c r="CN211" s="150">
        <f>SUM(Tabel7[[#This Row],[sep]:[jun]])</f>
        <v>0</v>
      </c>
      <c r="CO211" s="22" t="str">
        <f t="shared" si="21"/>
        <v/>
      </c>
      <c r="CP211" s="22" t="str">
        <f t="shared" si="22"/>
        <v/>
      </c>
      <c r="CQ211" s="22" t="str">
        <f t="shared" si="23"/>
        <v/>
      </c>
      <c r="CR211" s="22" t="str">
        <f t="shared" si="24"/>
        <v/>
      </c>
      <c r="CS211" s="22" t="str">
        <f t="shared" si="25"/>
        <v/>
      </c>
    </row>
    <row r="212" spans="1:97" x14ac:dyDescent="0.3">
      <c r="A212" s="22"/>
      <c r="B212" s="22" t="s">
        <v>779</v>
      </c>
      <c r="D212" s="22" t="s">
        <v>137</v>
      </c>
      <c r="H212" s="27">
        <f>Tabel2[[#This Row],[pnt t/m 2021/22]]+Tabel2[[#This Row],[pnt 2022/2023]]</f>
        <v>0</v>
      </c>
      <c r="J212">
        <v>2023</v>
      </c>
      <c r="K212" s="24">
        <f>Tabel2[[#This Row],[ijkdatum]]-Tabel2[[#This Row],[Geboren]]</f>
        <v>2023</v>
      </c>
      <c r="L212" s="26">
        <f>Tabel2[[#This Row],[TTL 1]]+Tabel2[[#This Row],[TTL 2]]+Tabel2[[#This Row],[TTL 3]]+Tabel2[[#This Row],[TTL 4]]+Tabel2[[#This Row],[TTL 5]]+Tabel2[[#This Row],[TTL 6]]+Tabel2[[#This Row],[TTL 7]]+Tabel2[[#This Row],[TTL 8]]+Tabel2[[#This Row],[TTL 9]]+Tabel2[[#This Row],[TTL 10]]</f>
        <v>0</v>
      </c>
      <c r="M212" s="157"/>
      <c r="N212" s="31"/>
      <c r="O212">
        <v>1</v>
      </c>
      <c r="S212" s="157">
        <f>SUM(Tabel2[[#This Row],[V 1]]*10+Tabel2[[#This Row],[GT 1]])/Tabel2[[#This Row],[AW 1]]*10+Tabel2[[#This Row],[BONUS 1]]</f>
        <v>0</v>
      </c>
      <c r="U212">
        <v>1</v>
      </c>
      <c r="Y212" s="27">
        <f>SUM(Tabel2[[#This Row],[V 2]]*10+Tabel2[[#This Row],[GT 2]])/Tabel2[[#This Row],[AW 2]]*10+Tabel2[[#This Row],[BONUS 2]]</f>
        <v>0</v>
      </c>
      <c r="AA212">
        <v>1</v>
      </c>
      <c r="AE212" s="27">
        <f>SUM(Tabel2[[#This Row],[V 3]]*10+Tabel2[[#This Row],[GT 3]])/Tabel2[[#This Row],[AW 3]]*10+Tabel2[[#This Row],[BONUS 3]]</f>
        <v>0</v>
      </c>
      <c r="AG212">
        <v>1</v>
      </c>
      <c r="AK212" s="27">
        <f>SUM(Tabel2[[#This Row],[V 4]]*10+Tabel2[[#This Row],[GT 4]])/Tabel2[[#This Row],[AW 4]]*10+Tabel2[[#This Row],[BONUS 4]]</f>
        <v>0</v>
      </c>
      <c r="AM212">
        <v>1</v>
      </c>
      <c r="AQ212" s="27">
        <f>SUM(Tabel2[[#This Row],[V 5]]*10+Tabel2[[#This Row],[GT 5]])/Tabel2[[#This Row],[AW 5]]*10+Tabel2[[#This Row],[BONUS 5]]</f>
        <v>0</v>
      </c>
      <c r="AS212">
        <v>1</v>
      </c>
      <c r="AW212" s="27">
        <f>SUM(Tabel2[[#This Row],[V 6]]*10+Tabel2[[#This Row],[GT 6]])/Tabel2[[#This Row],[AW 6]]*10+Tabel2[[#This Row],[BONUS 6]]</f>
        <v>0</v>
      </c>
      <c r="AY212">
        <v>1</v>
      </c>
      <c r="BC212" s="27">
        <f>SUM(Tabel2[[#This Row],[V 7]]*10+Tabel2[[#This Row],[GT 7]])/Tabel2[[#This Row],[AW 7]]*10+Tabel2[[#This Row],[BONUS 7]]</f>
        <v>0</v>
      </c>
      <c r="BE212">
        <v>1</v>
      </c>
      <c r="BI212" s="27">
        <f>SUM(Tabel2[[#This Row],[V 8]]*10+Tabel2[[#This Row],[GT 8]])/Tabel2[[#This Row],[AW 8]]*10+Tabel2[[#This Row],[BONUS 8]]</f>
        <v>0</v>
      </c>
      <c r="BK212">
        <v>1</v>
      </c>
      <c r="BO212" s="2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22">
        <f>Tabel2[[#This Row],[Diploma]]-Tabel2[[#This Row],[Uitgeschreven]]</f>
        <v>0</v>
      </c>
      <c r="BY212" s="22" t="str">
        <f t="shared" si="20"/>
        <v>geen actie</v>
      </c>
      <c r="CA212" s="150">
        <f>Tabel2[[#This Row],[pnt t/m 2021/22]]</f>
        <v>0</v>
      </c>
      <c r="CB212" s="150">
        <f>Tabel2[[#This Row],[pnt 2022/2023]]</f>
        <v>0</v>
      </c>
      <c r="CC212" s="150">
        <f t="shared" si="26"/>
        <v>0</v>
      </c>
      <c r="CD212" s="150">
        <f>IF(Tabel2[[#This Row],[LPR 1]]&gt;0,1,0)</f>
        <v>0</v>
      </c>
      <c r="CE212" s="150">
        <f>IF(Tabel2[[#This Row],[LPR 2]]&gt;0,1,0)</f>
        <v>0</v>
      </c>
      <c r="CF212" s="150">
        <f>IF(Tabel2[[#This Row],[LPR 3]]&gt;0,1,0)</f>
        <v>0</v>
      </c>
      <c r="CG212" s="150">
        <f>IF(Tabel2[[#This Row],[LPR 4]]&gt;0,1,0)</f>
        <v>0</v>
      </c>
      <c r="CH212" s="150">
        <f>IF(Tabel2[[#This Row],[LPR 5]]&gt;0,1,0)</f>
        <v>0</v>
      </c>
      <c r="CI212" s="150">
        <f>IF(Tabel2[[#This Row],[LPR 6]]&gt;0,1,0)</f>
        <v>0</v>
      </c>
      <c r="CJ212" s="150">
        <f>IF(Tabel2[[#This Row],[LPR 7]]&gt;0,1,0)</f>
        <v>0</v>
      </c>
      <c r="CK212" s="150">
        <f>IF(Tabel2[[#This Row],[LPR 8]]&gt;0,1,0)</f>
        <v>0</v>
      </c>
      <c r="CL212" s="150">
        <f>IF(Tabel2[[#This Row],[LPR 9]]&gt;0,1,0)</f>
        <v>0</v>
      </c>
      <c r="CM212" s="150">
        <f>IF(Tabel2[[#This Row],[LPR 10]]&gt;0,1,0)</f>
        <v>0</v>
      </c>
      <c r="CN212" s="150">
        <f>SUM(Tabel7[[#This Row],[sep]:[jun]])</f>
        <v>0</v>
      </c>
      <c r="CO212" s="22" t="str">
        <f t="shared" si="21"/>
        <v/>
      </c>
      <c r="CP212" s="22" t="str">
        <f t="shared" si="22"/>
        <v/>
      </c>
      <c r="CQ212" s="22" t="str">
        <f t="shared" si="23"/>
        <v/>
      </c>
      <c r="CR212" s="22" t="str">
        <f t="shared" si="24"/>
        <v/>
      </c>
      <c r="CS212" s="22" t="str">
        <f t="shared" si="25"/>
        <v/>
      </c>
    </row>
    <row r="213" spans="1:97" x14ac:dyDescent="0.3">
      <c r="A213" s="22"/>
      <c r="B213" s="22" t="s">
        <v>779</v>
      </c>
      <c r="D213" s="22" t="s">
        <v>137</v>
      </c>
      <c r="H213" s="154">
        <f>Tabel2[[#This Row],[pnt t/m 2021/22]]+Tabel2[[#This Row],[pnt 2022/2023]]</f>
        <v>0</v>
      </c>
      <c r="J213">
        <v>2023</v>
      </c>
      <c r="K213" s="24">
        <f>Tabel2[[#This Row],[ijkdatum]]-Tabel2[[#This Row],[Geboren]]</f>
        <v>2023</v>
      </c>
      <c r="L213" s="26">
        <f>Tabel2[[#This Row],[TTL 1]]+Tabel2[[#This Row],[TTL 2]]+Tabel2[[#This Row],[TTL 3]]+Tabel2[[#This Row],[TTL 4]]+Tabel2[[#This Row],[TTL 5]]+Tabel2[[#This Row],[TTL 6]]+Tabel2[[#This Row],[TTL 7]]+Tabel2[[#This Row],[TTL 8]]+Tabel2[[#This Row],[TTL 9]]+Tabel2[[#This Row],[TTL 10]]</f>
        <v>0</v>
      </c>
      <c r="M213" s="151"/>
      <c r="N213" s="31"/>
      <c r="O213">
        <v>1</v>
      </c>
      <c r="S213" s="27">
        <f>SUM(Tabel2[[#This Row],[V 1]]*10+Tabel2[[#This Row],[GT 1]])/Tabel2[[#This Row],[AW 1]]*10+Tabel2[[#This Row],[BONUS 1]]</f>
        <v>0</v>
      </c>
      <c r="U213">
        <v>1</v>
      </c>
      <c r="Y213" s="27">
        <f>SUM(Tabel2[[#This Row],[V 2]]*10+Tabel2[[#This Row],[GT 2]])/Tabel2[[#This Row],[AW 2]]*10+Tabel2[[#This Row],[BONUS 2]]</f>
        <v>0</v>
      </c>
      <c r="AA213">
        <v>1</v>
      </c>
      <c r="AE213" s="27">
        <f>SUM(Tabel2[[#This Row],[V 3]]*10+Tabel2[[#This Row],[GT 3]])/Tabel2[[#This Row],[AW 3]]*10+Tabel2[[#This Row],[BONUS 3]]</f>
        <v>0</v>
      </c>
      <c r="AG213">
        <v>1</v>
      </c>
      <c r="AK213" s="27">
        <f>SUM(Tabel2[[#This Row],[V 4]]*10+Tabel2[[#This Row],[GT 4]])/Tabel2[[#This Row],[AW 4]]*10+Tabel2[[#This Row],[BONUS 4]]</f>
        <v>0</v>
      </c>
      <c r="AM213">
        <v>1</v>
      </c>
      <c r="AQ213" s="27">
        <f>SUM(Tabel2[[#This Row],[V 5]]*10+Tabel2[[#This Row],[GT 5]])/Tabel2[[#This Row],[AW 5]]*10+Tabel2[[#This Row],[BONUS 5]]</f>
        <v>0</v>
      </c>
      <c r="AS213">
        <v>1</v>
      </c>
      <c r="AW213" s="27">
        <f>SUM(Tabel2[[#This Row],[V 6]]*10+Tabel2[[#This Row],[GT 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30">
        <f>Tabel2[[#This Row],[Diploma]]-Tabel2[[#This Row],[Uitgeschreven]]</f>
        <v>0</v>
      </c>
      <c r="BY213" s="14" t="str">
        <f t="shared" si="20"/>
        <v>geen actie</v>
      </c>
      <c r="CA213" s="150">
        <f>Tabel2[[#This Row],[pnt t/m 2021/22]]</f>
        <v>0</v>
      </c>
      <c r="CB213" s="150">
        <f>Tabel2[[#This Row],[pnt 2022/2023]]</f>
        <v>0</v>
      </c>
      <c r="CC213" s="150">
        <f t="shared" si="26"/>
        <v>0</v>
      </c>
      <c r="CD213" s="150">
        <f>IF(Tabel2[[#This Row],[LPR 1]]&gt;0,1,0)</f>
        <v>0</v>
      </c>
      <c r="CE213" s="150">
        <f>IF(Tabel2[[#This Row],[LPR 2]]&gt;0,1,0)</f>
        <v>0</v>
      </c>
      <c r="CF213" s="150">
        <f>IF(Tabel2[[#This Row],[LPR 3]]&gt;0,1,0)</f>
        <v>0</v>
      </c>
      <c r="CG213" s="150">
        <f>IF(Tabel2[[#This Row],[LPR 4]]&gt;0,1,0)</f>
        <v>0</v>
      </c>
      <c r="CH213" s="150">
        <f>IF(Tabel2[[#This Row],[LPR 5]]&gt;0,1,0)</f>
        <v>0</v>
      </c>
      <c r="CI213" s="150">
        <f>IF(Tabel2[[#This Row],[LPR 6]]&gt;0,1,0)</f>
        <v>0</v>
      </c>
      <c r="CJ213" s="150">
        <f>IF(Tabel2[[#This Row],[LPR 7]]&gt;0,1,0)</f>
        <v>0</v>
      </c>
      <c r="CK213" s="150">
        <f>IF(Tabel2[[#This Row],[LPR 8]]&gt;0,1,0)</f>
        <v>0</v>
      </c>
      <c r="CL213" s="150">
        <f>IF(Tabel2[[#This Row],[LPR 9]]&gt;0,1,0)</f>
        <v>0</v>
      </c>
      <c r="CM213" s="150">
        <f>IF(Tabel2[[#This Row],[LPR 10]]&gt;0,1,0)</f>
        <v>0</v>
      </c>
      <c r="CN213" s="150">
        <f>SUM(Tabel7[[#This Row],[sep]:[jun]])</f>
        <v>0</v>
      </c>
      <c r="CO213" s="22" t="str">
        <f t="shared" si="21"/>
        <v/>
      </c>
      <c r="CP213" s="22" t="str">
        <f t="shared" si="22"/>
        <v/>
      </c>
      <c r="CQ213" s="22" t="str">
        <f t="shared" si="23"/>
        <v/>
      </c>
      <c r="CR213" s="22" t="str">
        <f t="shared" si="24"/>
        <v/>
      </c>
      <c r="CS213" s="22" t="str">
        <f t="shared" si="25"/>
        <v/>
      </c>
    </row>
    <row r="214" spans="1:97" x14ac:dyDescent="0.3">
      <c r="A214" s="22"/>
      <c r="B214" s="22" t="s">
        <v>779</v>
      </c>
      <c r="D214" s="22" t="s">
        <v>137</v>
      </c>
      <c r="H214" s="154">
        <f>Tabel2[[#This Row],[pnt t/m 2021/22]]+Tabel2[[#This Row],[pnt 2022/2023]]</f>
        <v>0</v>
      </c>
      <c r="J214">
        <v>2023</v>
      </c>
      <c r="K214" s="24">
        <f>Tabel2[[#This Row],[ijkdatum]]-Tabel2[[#This Row],[Geboren]]</f>
        <v>2023</v>
      </c>
      <c r="L214" s="26">
        <f>Tabel2[[#This Row],[TTL 1]]+Tabel2[[#This Row],[TTL 2]]+Tabel2[[#This Row],[TTL 3]]+Tabel2[[#This Row],[TTL 4]]+Tabel2[[#This Row],[TTL 5]]+Tabel2[[#This Row],[TTL 6]]+Tabel2[[#This Row],[TTL 7]]+Tabel2[[#This Row],[TTL 8]]+Tabel2[[#This Row],[TTL 9]]+Tabel2[[#This Row],[TTL 10]]</f>
        <v>0</v>
      </c>
      <c r="M214" s="151"/>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S214">
        <v>1</v>
      </c>
      <c r="AW214" s="27">
        <f>SUM(Tabel2[[#This Row],[V 6]]*10+Tabel2[[#This Row],[GT 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4" s="22">
        <v>0</v>
      </c>
      <c r="BX214" s="30">
        <f>Tabel2[[#This Row],[Diploma]]-Tabel2[[#This Row],[Uitgeschreven]]</f>
        <v>0</v>
      </c>
      <c r="BY214" s="14" t="str">
        <f t="shared" si="20"/>
        <v>geen actie</v>
      </c>
      <c r="CA214" s="150">
        <f>Tabel2[[#This Row],[pnt t/m 2021/22]]</f>
        <v>0</v>
      </c>
      <c r="CB214" s="150">
        <f>Tabel2[[#This Row],[pnt 2022/2023]]</f>
        <v>0</v>
      </c>
      <c r="CC214" s="150">
        <f t="shared" si="26"/>
        <v>0</v>
      </c>
      <c r="CD214" s="150">
        <f>IF(Tabel2[[#This Row],[LPR 1]]&gt;0,1,0)</f>
        <v>0</v>
      </c>
      <c r="CE214" s="150">
        <f>IF(Tabel2[[#This Row],[LPR 2]]&gt;0,1,0)</f>
        <v>0</v>
      </c>
      <c r="CF214" s="150">
        <f>IF(Tabel2[[#This Row],[LPR 3]]&gt;0,1,0)</f>
        <v>0</v>
      </c>
      <c r="CG214" s="150">
        <f>IF(Tabel2[[#This Row],[LPR 4]]&gt;0,1,0)</f>
        <v>0</v>
      </c>
      <c r="CH214" s="150">
        <f>IF(Tabel2[[#This Row],[LPR 5]]&gt;0,1,0)</f>
        <v>0</v>
      </c>
      <c r="CI214" s="150">
        <f>IF(Tabel2[[#This Row],[LPR 6]]&gt;0,1,0)</f>
        <v>0</v>
      </c>
      <c r="CJ214" s="150">
        <f>IF(Tabel2[[#This Row],[LPR 7]]&gt;0,1,0)</f>
        <v>0</v>
      </c>
      <c r="CK214" s="150">
        <f>IF(Tabel2[[#This Row],[LPR 8]]&gt;0,1,0)</f>
        <v>0</v>
      </c>
      <c r="CL214" s="150">
        <f>IF(Tabel2[[#This Row],[LPR 9]]&gt;0,1,0)</f>
        <v>0</v>
      </c>
      <c r="CM214" s="150">
        <f>IF(Tabel2[[#This Row],[LPR 10]]&gt;0,1,0)</f>
        <v>0</v>
      </c>
      <c r="CN214" s="150">
        <f>SUM(Tabel7[[#This Row],[sep]:[jun]])</f>
        <v>0</v>
      </c>
      <c r="CO214" s="22" t="str">
        <f t="shared" si="21"/>
        <v/>
      </c>
      <c r="CP214" s="22" t="str">
        <f t="shared" si="22"/>
        <v/>
      </c>
      <c r="CQ214" s="22" t="str">
        <f t="shared" si="23"/>
        <v/>
      </c>
      <c r="CR214" s="22" t="str">
        <f t="shared" si="24"/>
        <v/>
      </c>
      <c r="CS214" s="22" t="str">
        <f t="shared" si="25"/>
        <v/>
      </c>
    </row>
    <row r="215" spans="1:97" x14ac:dyDescent="0.3">
      <c r="A215" s="22"/>
      <c r="B215" s="22" t="s">
        <v>779</v>
      </c>
      <c r="D215" s="22" t="s">
        <v>137</v>
      </c>
      <c r="H215" s="154">
        <f>Tabel2[[#This Row],[pnt t/m 2021/22]]+Tabel2[[#This Row],[pnt 2022/2023]]</f>
        <v>0</v>
      </c>
      <c r="J215">
        <v>2023</v>
      </c>
      <c r="K215" s="24">
        <f>Tabel2[[#This Row],[ijkdatum]]-Tabel2[[#This Row],[Geboren]]</f>
        <v>2023</v>
      </c>
      <c r="L215" s="26">
        <f>Tabel2[[#This Row],[TTL 1]]+Tabel2[[#This Row],[TTL 2]]+Tabel2[[#This Row],[TTL 3]]+Tabel2[[#This Row],[TTL 4]]+Tabel2[[#This Row],[TTL 5]]+Tabel2[[#This Row],[TTL 6]]+Tabel2[[#This Row],[TTL 7]]+Tabel2[[#This Row],[TTL 8]]+Tabel2[[#This Row],[TTL 9]]+Tabel2[[#This Row],[TTL 10]]</f>
        <v>0</v>
      </c>
      <c r="M215" s="151"/>
      <c r="N215" s="31"/>
      <c r="O215">
        <v>1</v>
      </c>
      <c r="S215" s="2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 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5" s="22">
        <v>0</v>
      </c>
      <c r="BX215" s="30">
        <f>Tabel2[[#This Row],[Diploma]]-Tabel2[[#This Row],[Uitgeschreven]]</f>
        <v>0</v>
      </c>
      <c r="BY215" s="14" t="str">
        <f t="shared" si="20"/>
        <v>geen actie</v>
      </c>
      <c r="CA215" s="150">
        <f>Tabel2[[#This Row],[pnt t/m 2021/22]]</f>
        <v>0</v>
      </c>
      <c r="CB215" s="150">
        <f>Tabel2[[#This Row],[pnt 2022/2023]]</f>
        <v>0</v>
      </c>
      <c r="CC215" s="150">
        <f t="shared" si="26"/>
        <v>0</v>
      </c>
      <c r="CD215" s="150">
        <f>IF(Tabel2[[#This Row],[LPR 1]]&gt;0,1,0)</f>
        <v>0</v>
      </c>
      <c r="CE215" s="150">
        <f>IF(Tabel2[[#This Row],[LPR 2]]&gt;0,1,0)</f>
        <v>0</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0</v>
      </c>
      <c r="CO215" s="22" t="str">
        <f t="shared" si="21"/>
        <v/>
      </c>
      <c r="CP215" s="22" t="str">
        <f t="shared" si="22"/>
        <v/>
      </c>
      <c r="CQ215" s="22" t="str">
        <f t="shared" si="23"/>
        <v/>
      </c>
      <c r="CR215" s="22" t="str">
        <f t="shared" si="24"/>
        <v/>
      </c>
      <c r="CS215" s="22" t="str">
        <f t="shared" si="25"/>
        <v/>
      </c>
    </row>
    <row r="216" spans="1:97" x14ac:dyDescent="0.3">
      <c r="A216" s="22"/>
      <c r="B216" s="22" t="s">
        <v>779</v>
      </c>
      <c r="D216" s="22" t="s">
        <v>137</v>
      </c>
      <c r="H216" s="154">
        <f>Tabel2[[#This Row],[pnt t/m 2021/22]]+Tabel2[[#This Row],[pnt 2022/2023]]</f>
        <v>0</v>
      </c>
      <c r="J216">
        <v>2023</v>
      </c>
      <c r="K216" s="24">
        <f>Tabel2[[#This Row],[ijkdatum]]-Tabel2[[#This Row],[Geboren]]</f>
        <v>2023</v>
      </c>
      <c r="L216" s="26">
        <f>Tabel2[[#This Row],[TTL 1]]+Tabel2[[#This Row],[TTL 2]]+Tabel2[[#This Row],[TTL 3]]+Tabel2[[#This Row],[TTL 4]]+Tabel2[[#This Row],[TTL 5]]+Tabel2[[#This Row],[TTL 6]]+Tabel2[[#This Row],[TTL 7]]+Tabel2[[#This Row],[TTL 8]]+Tabel2[[#This Row],[TTL 9]]+Tabel2[[#This Row],[TTL 10]]</f>
        <v>0</v>
      </c>
      <c r="M216" s="151"/>
      <c r="N216" s="31"/>
      <c r="O216">
        <v>1</v>
      </c>
      <c r="S216" s="27">
        <f>SUM(Tabel2[[#This Row],[V 1]]*10+Tabel2[[#This Row],[GT 1]])/Tabel2[[#This Row],[AW 1]]*10+Tabel2[[#This Row],[BONUS 1]]</f>
        <v>0</v>
      </c>
      <c r="U216">
        <v>1</v>
      </c>
      <c r="Y216" s="27">
        <f>SUM(Tabel2[[#This Row],[V 2]]*10+Tabel2[[#This Row],[GT 2]])/Tabel2[[#This Row],[AW 2]]*10+Tabel2[[#This Row],[BONUS 2]]</f>
        <v>0</v>
      </c>
      <c r="AA216">
        <v>1</v>
      </c>
      <c r="AE216" s="27">
        <f>SUM(Tabel2[[#This Row],[V 3]]*10+Tabel2[[#This Row],[GT 3]])/Tabel2[[#This Row],[AW 3]]*10+Tabel2[[#This Row],[BONUS 3]]</f>
        <v>0</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 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6" s="22">
        <v>0</v>
      </c>
      <c r="BX216" s="30">
        <f>Tabel2[[#This Row],[Diploma]]-Tabel2[[#This Row],[Uitgeschreven]]</f>
        <v>0</v>
      </c>
      <c r="BY216" s="14" t="str">
        <f t="shared" si="20"/>
        <v>geen actie</v>
      </c>
      <c r="CA216" s="150">
        <f>Tabel2[[#This Row],[pnt t/m 2021/22]]</f>
        <v>0</v>
      </c>
      <c r="CB216" s="150">
        <f>Tabel2[[#This Row],[pnt 2022/2023]]</f>
        <v>0</v>
      </c>
      <c r="CC216" s="150">
        <f t="shared" si="26"/>
        <v>0</v>
      </c>
      <c r="CD216" s="150">
        <f>IF(Tabel2[[#This Row],[LPR 1]]&gt;0,1,0)</f>
        <v>0</v>
      </c>
      <c r="CE216" s="150">
        <f>IF(Tabel2[[#This Row],[LPR 2]]&gt;0,1,0)</f>
        <v>0</v>
      </c>
      <c r="CF216" s="150">
        <f>IF(Tabel2[[#This Row],[LPR 3]]&gt;0,1,0)</f>
        <v>0</v>
      </c>
      <c r="CG216" s="150">
        <f>IF(Tabel2[[#This Row],[LPR 4]]&gt;0,1,0)</f>
        <v>0</v>
      </c>
      <c r="CH216" s="150">
        <f>IF(Tabel2[[#This Row],[LPR 5]]&gt;0,1,0)</f>
        <v>0</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0</v>
      </c>
      <c r="CO216" s="22" t="str">
        <f t="shared" si="21"/>
        <v/>
      </c>
      <c r="CP216" s="22" t="str">
        <f t="shared" si="22"/>
        <v/>
      </c>
      <c r="CQ216" s="22" t="str">
        <f t="shared" si="23"/>
        <v/>
      </c>
      <c r="CR216" s="22" t="str">
        <f t="shared" si="24"/>
        <v/>
      </c>
      <c r="CS216" s="22" t="str">
        <f t="shared" si="25"/>
        <v/>
      </c>
    </row>
    <row r="217" spans="1:97" x14ac:dyDescent="0.3">
      <c r="A217" s="22"/>
      <c r="B217" s="22" t="s">
        <v>779</v>
      </c>
      <c r="D217" s="22" t="s">
        <v>137</v>
      </c>
      <c r="H217" s="154">
        <f>Tabel2[[#This Row],[pnt t/m 2021/22]]+Tabel2[[#This Row],[pnt 2022/2023]]</f>
        <v>0</v>
      </c>
      <c r="J217">
        <v>2023</v>
      </c>
      <c r="K217" s="24">
        <f>Tabel2[[#This Row],[ijkdatum]]-Tabel2[[#This Row],[Geboren]]</f>
        <v>2023</v>
      </c>
      <c r="L217" s="26">
        <f>Tabel2[[#This Row],[TTL 1]]+Tabel2[[#This Row],[TTL 2]]+Tabel2[[#This Row],[TTL 3]]+Tabel2[[#This Row],[TTL 4]]+Tabel2[[#This Row],[TTL 5]]+Tabel2[[#This Row],[TTL 6]]+Tabel2[[#This Row],[TTL 7]]+Tabel2[[#This Row],[TTL 8]]+Tabel2[[#This Row],[TTL 9]]+Tabel2[[#This Row],[TTL 10]]</f>
        <v>0</v>
      </c>
      <c r="M217" s="151"/>
      <c r="N217" s="31"/>
      <c r="O217">
        <v>1</v>
      </c>
      <c r="S217" s="27">
        <f>SUM(Tabel2[[#This Row],[V 1]]*10+Tabel2[[#This Row],[GT 1]])/Tabel2[[#This Row],[AW 1]]*10+Tabel2[[#This Row],[BONUS 1]]</f>
        <v>0</v>
      </c>
      <c r="U217">
        <v>1</v>
      </c>
      <c r="Y217" s="27">
        <f>SUM(Tabel2[[#This Row],[V 2]]*10+Tabel2[[#This Row],[GT 2]])/Tabel2[[#This Row],[AW 2]]*10+Tabel2[[#This Row],[BONUS 2]]</f>
        <v>0</v>
      </c>
      <c r="AA217">
        <v>1</v>
      </c>
      <c r="AE217" s="27">
        <f>SUM(Tabel2[[#This Row],[V 3]]*10+Tabel2[[#This Row],[GT 3]])/Tabel2[[#This Row],[AW 3]]*10+Tabel2[[#This Row],[BONUS 3]]</f>
        <v>0</v>
      </c>
      <c r="AG217">
        <v>1</v>
      </c>
      <c r="AK217" s="27">
        <f>SUM(Tabel2[[#This Row],[V 4]]*10+Tabel2[[#This Row],[GT 4]])/Tabel2[[#This Row],[AW 4]]*10+Tabel2[[#This Row],[BONUS 4]]</f>
        <v>0</v>
      </c>
      <c r="AM217">
        <v>1</v>
      </c>
      <c r="AQ217" s="27">
        <f>SUM(Tabel2[[#This Row],[V 5]]*10+Tabel2[[#This Row],[GT 5]])/Tabel2[[#This Row],[AW 5]]*10+Tabel2[[#This Row],[BONUS 5]]</f>
        <v>0</v>
      </c>
      <c r="AS217">
        <v>1</v>
      </c>
      <c r="AW217" s="27">
        <f>SUM(Tabel2[[#This Row],[V 6]]*10+Tabel2[[#This Row],[GT 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7" s="22">
        <v>0</v>
      </c>
      <c r="BX217" s="30">
        <f>Tabel2[[#This Row],[Diploma]]-Tabel2[[#This Row],[Uitgeschreven]]</f>
        <v>0</v>
      </c>
      <c r="BY217" s="14" t="str">
        <f t="shared" si="20"/>
        <v>geen actie</v>
      </c>
      <c r="CA217" s="150">
        <f>Tabel2[[#This Row],[pnt t/m 2021/22]]</f>
        <v>0</v>
      </c>
      <c r="CB217" s="150">
        <f>Tabel2[[#This Row],[pnt 2022/2023]]</f>
        <v>0</v>
      </c>
      <c r="CC217" s="150">
        <f t="shared" si="26"/>
        <v>0</v>
      </c>
      <c r="CD217" s="150">
        <f>IF(Tabel2[[#This Row],[LPR 1]]&gt;0,1,0)</f>
        <v>0</v>
      </c>
      <c r="CE217" s="150">
        <f>IF(Tabel2[[#This Row],[LPR 2]]&gt;0,1,0)</f>
        <v>0</v>
      </c>
      <c r="CF217" s="150">
        <f>IF(Tabel2[[#This Row],[LPR 3]]&gt;0,1,0)</f>
        <v>0</v>
      </c>
      <c r="CG217" s="150">
        <f>IF(Tabel2[[#This Row],[LPR 4]]&gt;0,1,0)</f>
        <v>0</v>
      </c>
      <c r="CH217" s="150">
        <f>IF(Tabel2[[#This Row],[LPR 5]]&gt;0,1,0)</f>
        <v>0</v>
      </c>
      <c r="CI217" s="150">
        <f>IF(Tabel2[[#This Row],[LPR 6]]&gt;0,1,0)</f>
        <v>0</v>
      </c>
      <c r="CJ217" s="150">
        <f>IF(Tabel2[[#This Row],[LPR 7]]&gt;0,1,0)</f>
        <v>0</v>
      </c>
      <c r="CK217" s="150">
        <f>IF(Tabel2[[#This Row],[LPR 8]]&gt;0,1,0)</f>
        <v>0</v>
      </c>
      <c r="CL217" s="150">
        <f>IF(Tabel2[[#This Row],[LPR 9]]&gt;0,1,0)</f>
        <v>0</v>
      </c>
      <c r="CM217" s="150">
        <f>IF(Tabel2[[#This Row],[LPR 10]]&gt;0,1,0)</f>
        <v>0</v>
      </c>
      <c r="CN217" s="150">
        <f>SUM(Tabel7[[#This Row],[sep]:[jun]])</f>
        <v>0</v>
      </c>
      <c r="CO217" s="22" t="str">
        <f t="shared" si="21"/>
        <v/>
      </c>
      <c r="CP217" s="22" t="str">
        <f t="shared" si="22"/>
        <v/>
      </c>
      <c r="CQ217" s="22" t="str">
        <f t="shared" si="23"/>
        <v/>
      </c>
      <c r="CR217" s="22" t="str">
        <f t="shared" si="24"/>
        <v/>
      </c>
      <c r="CS217" s="22" t="str">
        <f t="shared" si="25"/>
        <v/>
      </c>
    </row>
    <row r="218" spans="1:97" x14ac:dyDescent="0.3">
      <c r="A218" s="22"/>
      <c r="B218" s="22" t="s">
        <v>779</v>
      </c>
      <c r="D218" s="22" t="s">
        <v>137</v>
      </c>
      <c r="H218" s="154">
        <f>Tabel2[[#This Row],[pnt t/m 2021/22]]+Tabel2[[#This Row],[pnt 2022/2023]]</f>
        <v>0</v>
      </c>
      <c r="J218">
        <v>2023</v>
      </c>
      <c r="K218" s="24">
        <f>Tabel2[[#This Row],[ijkdatum]]-Tabel2[[#This Row],[Geboren]]</f>
        <v>2023</v>
      </c>
      <c r="L218" s="26">
        <f>Tabel2[[#This Row],[TTL 1]]+Tabel2[[#This Row],[TTL 2]]+Tabel2[[#This Row],[TTL 3]]+Tabel2[[#This Row],[TTL 4]]+Tabel2[[#This Row],[TTL 5]]+Tabel2[[#This Row],[TTL 6]]+Tabel2[[#This Row],[TTL 7]]+Tabel2[[#This Row],[TTL 8]]+Tabel2[[#This Row],[TTL 9]]+Tabel2[[#This Row],[TTL 10]]</f>
        <v>0</v>
      </c>
      <c r="M218" s="151"/>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 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8" s="22">
        <v>0</v>
      </c>
      <c r="BX218" s="30">
        <f>Tabel2[[#This Row],[Diploma]]-Tabel2[[#This Row],[Uitgeschreven]]</f>
        <v>0</v>
      </c>
      <c r="BY218" s="14" t="str">
        <f t="shared" si="20"/>
        <v>geen actie</v>
      </c>
      <c r="CA218" s="150">
        <f>Tabel2[[#This Row],[pnt t/m 2021/22]]</f>
        <v>0</v>
      </c>
      <c r="CB218" s="150">
        <f>Tabel2[[#This Row],[pnt 2022/2023]]</f>
        <v>0</v>
      </c>
      <c r="CC218" s="150">
        <f t="shared" si="26"/>
        <v>0</v>
      </c>
      <c r="CD218" s="150">
        <f>IF(Tabel2[[#This Row],[LPR 1]]&gt;0,1,0)</f>
        <v>0</v>
      </c>
      <c r="CE218" s="150">
        <f>IF(Tabel2[[#This Row],[LPR 2]]&gt;0,1,0)</f>
        <v>0</v>
      </c>
      <c r="CF218" s="150">
        <f>IF(Tabel2[[#This Row],[LPR 3]]&gt;0,1,0)</f>
        <v>0</v>
      </c>
      <c r="CG218" s="150">
        <f>IF(Tabel2[[#This Row],[LPR 4]]&gt;0,1,0)</f>
        <v>0</v>
      </c>
      <c r="CH218" s="150">
        <f>IF(Tabel2[[#This Row],[LPR 5]]&gt;0,1,0)</f>
        <v>0</v>
      </c>
      <c r="CI218" s="150">
        <f>IF(Tabel2[[#This Row],[LPR 6]]&gt;0,1,0)</f>
        <v>0</v>
      </c>
      <c r="CJ218" s="150">
        <f>IF(Tabel2[[#This Row],[LPR 7]]&gt;0,1,0)</f>
        <v>0</v>
      </c>
      <c r="CK218" s="150">
        <f>IF(Tabel2[[#This Row],[LPR 8]]&gt;0,1,0)</f>
        <v>0</v>
      </c>
      <c r="CL218" s="150">
        <f>IF(Tabel2[[#This Row],[LPR 9]]&gt;0,1,0)</f>
        <v>0</v>
      </c>
      <c r="CM218" s="150">
        <f>IF(Tabel2[[#This Row],[LPR 10]]&gt;0,1,0)</f>
        <v>0</v>
      </c>
      <c r="CN218" s="150">
        <f>SUM(Tabel7[[#This Row],[sep]:[jun]])</f>
        <v>0</v>
      </c>
      <c r="CO218" s="22" t="str">
        <f t="shared" si="21"/>
        <v/>
      </c>
      <c r="CP218" s="22" t="str">
        <f t="shared" si="22"/>
        <v/>
      </c>
      <c r="CQ218" s="22" t="str">
        <f t="shared" si="23"/>
        <v/>
      </c>
      <c r="CR218" s="22" t="str">
        <f t="shared" si="24"/>
        <v/>
      </c>
      <c r="CS218" s="22" t="str">
        <f t="shared" si="25"/>
        <v/>
      </c>
    </row>
    <row r="219" spans="1:97" x14ac:dyDescent="0.3">
      <c r="A219" s="22"/>
      <c r="B219" s="22" t="s">
        <v>779</v>
      </c>
      <c r="D219" s="22" t="s">
        <v>137</v>
      </c>
      <c r="H219" s="154">
        <f>Tabel2[[#This Row],[pnt t/m 2021/22]]+Tabel2[[#This Row],[pnt 2022/2023]]</f>
        <v>0</v>
      </c>
      <c r="J219">
        <v>2023</v>
      </c>
      <c r="K219" s="24">
        <f>Tabel2[[#This Row],[ijkdatum]]-Tabel2[[#This Row],[Geboren]]</f>
        <v>2023</v>
      </c>
      <c r="L219" s="26">
        <f>Tabel2[[#This Row],[TTL 1]]+Tabel2[[#This Row],[TTL 2]]+Tabel2[[#This Row],[TTL 3]]+Tabel2[[#This Row],[TTL 4]]+Tabel2[[#This Row],[TTL 5]]+Tabel2[[#This Row],[TTL 6]]+Tabel2[[#This Row],[TTL 7]]+Tabel2[[#This Row],[TTL 8]]+Tabel2[[#This Row],[TTL 9]]+Tabel2[[#This Row],[TTL 10]]</f>
        <v>0</v>
      </c>
      <c r="M219" s="151"/>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 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30">
        <f>Tabel2[[#This Row],[Diploma]]-Tabel2[[#This Row],[Uitgeschreven]]</f>
        <v>0</v>
      </c>
      <c r="BY219" s="14" t="str">
        <f t="shared" si="20"/>
        <v>geen actie</v>
      </c>
      <c r="CA219" s="150">
        <f>Tabel2[[#This Row],[pnt t/m 2021/22]]</f>
        <v>0</v>
      </c>
      <c r="CB219" s="150">
        <f>Tabel2[[#This Row],[pnt 2022/2023]]</f>
        <v>0</v>
      </c>
      <c r="CC219" s="150">
        <f t="shared" si="26"/>
        <v>0</v>
      </c>
      <c r="CD219" s="150">
        <f>IF(Tabel2[[#This Row],[LPR 1]]&gt;0,1,0)</f>
        <v>0</v>
      </c>
      <c r="CE219" s="150">
        <f>IF(Tabel2[[#This Row],[LPR 2]]&gt;0,1,0)</f>
        <v>0</v>
      </c>
      <c r="CF219" s="150">
        <f>IF(Tabel2[[#This Row],[LPR 3]]&gt;0,1,0)</f>
        <v>0</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0</v>
      </c>
      <c r="CO219" s="22" t="str">
        <f t="shared" si="21"/>
        <v/>
      </c>
      <c r="CP219" s="22" t="str">
        <f t="shared" si="22"/>
        <v/>
      </c>
      <c r="CQ219" s="22" t="str">
        <f t="shared" si="23"/>
        <v/>
      </c>
      <c r="CR219" s="22" t="str">
        <f t="shared" si="24"/>
        <v/>
      </c>
      <c r="CS219" s="22" t="str">
        <f t="shared" si="25"/>
        <v/>
      </c>
    </row>
    <row r="220" spans="1:97" x14ac:dyDescent="0.3">
      <c r="A220" s="22"/>
      <c r="B220" s="22" t="s">
        <v>779</v>
      </c>
      <c r="D220" s="22" t="s">
        <v>137</v>
      </c>
      <c r="H220" s="154">
        <f>Tabel2[[#This Row],[pnt t/m 2021/22]]+Tabel2[[#This Row],[pnt 2022/2023]]</f>
        <v>0</v>
      </c>
      <c r="J220">
        <v>2023</v>
      </c>
      <c r="K220" s="24">
        <f>Tabel2[[#This Row],[ijkdatum]]-Tabel2[[#This Row],[Geboren]]</f>
        <v>2023</v>
      </c>
      <c r="L220" s="26">
        <f>Tabel2[[#This Row],[TTL 1]]+Tabel2[[#This Row],[TTL 2]]+Tabel2[[#This Row],[TTL 3]]+Tabel2[[#This Row],[TTL 4]]+Tabel2[[#This Row],[TTL 5]]+Tabel2[[#This Row],[TTL 6]]+Tabel2[[#This Row],[TTL 7]]+Tabel2[[#This Row],[TTL 8]]+Tabel2[[#This Row],[TTL 9]]+Tabel2[[#This Row],[TTL 10]]</f>
        <v>0</v>
      </c>
      <c r="M220" s="151"/>
      <c r="N220" s="31"/>
      <c r="O220">
        <v>1</v>
      </c>
      <c r="S220" s="27">
        <f>SUM(Tabel2[[#This Row],[V 1]]*10+Tabel2[[#This Row],[GT 1]])/Tabel2[[#This Row],[AW 1]]*10+Tabel2[[#This Row],[BONUS 1]]</f>
        <v>0</v>
      </c>
      <c r="U220">
        <v>1</v>
      </c>
      <c r="Y220" s="27">
        <f>SUM(Tabel2[[#This Row],[V 2]]*10+Tabel2[[#This Row],[GT 2]])/Tabel2[[#This Row],[AW 2]]*10+Tabel2[[#This Row],[BONUS 2]]</f>
        <v>0</v>
      </c>
      <c r="AA220">
        <v>1</v>
      </c>
      <c r="AE220" s="27">
        <f>SUM(Tabel2[[#This Row],[V 3]]*10+Tabel2[[#This Row],[GT 3]])/Tabel2[[#This Row],[AW 3]]*10+Tabel2[[#This Row],[BONUS 3]]</f>
        <v>0</v>
      </c>
      <c r="AG220">
        <v>1</v>
      </c>
      <c r="AK220" s="27">
        <f>SUM(Tabel2[[#This Row],[V 4]]*10+Tabel2[[#This Row],[GT 4]])/Tabel2[[#This Row],[AW 4]]*10+Tabel2[[#This Row],[BONUS 4]]</f>
        <v>0</v>
      </c>
      <c r="AM220">
        <v>1</v>
      </c>
      <c r="AQ220" s="27">
        <f>SUM(Tabel2[[#This Row],[V 5]]*10+Tabel2[[#This Row],[GT 5]])/Tabel2[[#This Row],[AW 5]]*10+Tabel2[[#This Row],[BONUS 5]]</f>
        <v>0</v>
      </c>
      <c r="AS220">
        <v>1</v>
      </c>
      <c r="AW220" s="27">
        <f>SUM(Tabel2[[#This Row],[V 6]]*10+Tabel2[[#This Row],[GT 6]])/Tabel2[[#This Row],[AW 6]]*10+Tabel2[[#This Row],[BONUS 6]]</f>
        <v>0</v>
      </c>
      <c r="AY220">
        <v>1</v>
      </c>
      <c r="BC220" s="27">
        <f>SUM(Tabel2[[#This Row],[V 7]]*10+Tabel2[[#This Row],[GT 7]])/Tabel2[[#This Row],[AW 7]]*10+Tabel2[[#This Row],[BONUS 7]]</f>
        <v>0</v>
      </c>
      <c r="BE220">
        <v>1</v>
      </c>
      <c r="BI220" s="27">
        <f>SUM(Tabel2[[#This Row],[V 8]]*10+Tabel2[[#This Row],[GT 8]])/Tabel2[[#This Row],[AW 8]]*10+Tabel2[[#This Row],[BONUS 8]]</f>
        <v>0</v>
      </c>
      <c r="BK220">
        <v>1</v>
      </c>
      <c r="BO220" s="27">
        <f>SUM(Tabel2[[#This Row],[V 9]]*10+Tabel2[[#This Row],[GT 9]])/Tabel2[[#This Row],[AW 9]]*10+Tabel2[[#This Row],[BONUS 9]]</f>
        <v>0</v>
      </c>
      <c r="BQ220">
        <v>1</v>
      </c>
      <c r="BU220" s="23">
        <f>SUM(Tabel2[[#This Row],[V 10]]*10+Tabel2[[#This Row],[GT 10]])/Tabel2[[#This Row],[AW 10]]*10+Tabel2[[#This Row],[BONUS 10]]</f>
        <v>0</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30">
        <f>Tabel2[[#This Row],[Diploma]]-Tabel2[[#This Row],[Uitgeschreven]]</f>
        <v>0</v>
      </c>
      <c r="BY220" s="14" t="str">
        <f t="shared" si="20"/>
        <v>geen actie</v>
      </c>
      <c r="CB220" s="150">
        <f>Tabel2[[#This Row],[pnt 2022/2023]]</f>
        <v>0</v>
      </c>
      <c r="CC220" s="150">
        <f t="shared" ref="CC220:CC249" si="27">CA220+CB220</f>
        <v>0</v>
      </c>
      <c r="CD220" s="150">
        <f>IF(Tabel2[[#This Row],[LPR 1]]&gt;0,1,0)</f>
        <v>0</v>
      </c>
      <c r="CE220" s="150">
        <f>IF(Tabel2[[#This Row],[LPR 2]]&gt;0,1,0)</f>
        <v>0</v>
      </c>
      <c r="CF220" s="150">
        <f>IF(Tabel2[[#This Row],[LPR 3]]&gt;0,1,0)</f>
        <v>0</v>
      </c>
      <c r="CG220" s="150">
        <f>IF(Tabel2[[#This Row],[LPR 4]]&gt;0,1,0)</f>
        <v>0</v>
      </c>
      <c r="CH220" s="150">
        <f>IF(Tabel2[[#This Row],[LPR 5]]&gt;0,1,0)</f>
        <v>0</v>
      </c>
      <c r="CI220" s="150">
        <f>IF(Tabel2[[#This Row],[LPR 6]]&gt;0,1,0)</f>
        <v>0</v>
      </c>
      <c r="CJ220" s="150">
        <f>IF(Tabel2[[#This Row],[LPR 7]]&gt;0,1,0)</f>
        <v>0</v>
      </c>
      <c r="CK220" s="150">
        <f>IF(Tabel2[[#This Row],[LPR 8]]&gt;0,1,0)</f>
        <v>0</v>
      </c>
      <c r="CL220" s="150">
        <f>IF(Tabel2[[#This Row],[LPR 9]]&gt;0,1,0)</f>
        <v>0</v>
      </c>
      <c r="CM220" s="150">
        <f>IF(Tabel2[[#This Row],[LPR 10]]&gt;0,1,0)</f>
        <v>0</v>
      </c>
      <c r="CN220" s="150">
        <f>SUM(Tabel7[[#This Row],[sep]:[jun]])</f>
        <v>0</v>
      </c>
      <c r="CO220" s="22" t="str">
        <f t="shared" si="21"/>
        <v/>
      </c>
      <c r="CP220" s="22" t="str">
        <f t="shared" si="22"/>
        <v/>
      </c>
      <c r="CQ220" s="22" t="str">
        <f t="shared" si="23"/>
        <v/>
      </c>
      <c r="CR220" s="22" t="str">
        <f t="shared" si="24"/>
        <v/>
      </c>
      <c r="CS220" s="22" t="str">
        <f t="shared" si="25"/>
        <v/>
      </c>
    </row>
    <row r="221" spans="1:97" x14ac:dyDescent="0.3">
      <c r="A221" s="22"/>
      <c r="B221" s="22" t="s">
        <v>779</v>
      </c>
      <c r="D221" s="22" t="s">
        <v>137</v>
      </c>
      <c r="H221" s="154">
        <f>Tabel2[[#This Row],[pnt t/m 2021/22]]+Tabel2[[#This Row],[pnt 2022/2023]]</f>
        <v>0</v>
      </c>
      <c r="J221">
        <v>2023</v>
      </c>
      <c r="K221" s="24">
        <f>Tabel2[[#This Row],[ijkdatum]]-Tabel2[[#This Row],[Geboren]]</f>
        <v>2023</v>
      </c>
      <c r="L221" s="26">
        <f>Tabel2[[#This Row],[TTL 1]]+Tabel2[[#This Row],[TTL 2]]+Tabel2[[#This Row],[TTL 3]]+Tabel2[[#This Row],[TTL 4]]+Tabel2[[#This Row],[TTL 5]]+Tabel2[[#This Row],[TTL 6]]+Tabel2[[#This Row],[TTL 7]]+Tabel2[[#This Row],[TTL 8]]+Tabel2[[#This Row],[TTL 9]]+Tabel2[[#This Row],[TTL 10]]</f>
        <v>0</v>
      </c>
      <c r="M221" s="151"/>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 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 t="shared" si="20"/>
        <v>geen actie</v>
      </c>
      <c r="CB221" s="150">
        <f>Tabel2[[#This Row],[pnt 2022/2023]]</f>
        <v>0</v>
      </c>
      <c r="CC221" s="150">
        <f t="shared" si="27"/>
        <v>0</v>
      </c>
      <c r="CD221" s="150">
        <f>IF(Tabel2[[#This Row],[LPR 1]]&gt;0,1,0)</f>
        <v>0</v>
      </c>
      <c r="CE221" s="150">
        <f>IF(Tabel2[[#This Row],[LPR 2]]&gt;0,1,0)</f>
        <v>0</v>
      </c>
      <c r="CF221" s="150">
        <f>IF(Tabel2[[#This Row],[LPR 3]]&gt;0,1,0)</f>
        <v>0</v>
      </c>
      <c r="CG221" s="150">
        <f>IF(Tabel2[[#This Row],[LPR 4]]&gt;0,1,0)</f>
        <v>0</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0</v>
      </c>
      <c r="CO221" s="22" t="str">
        <f t="shared" si="21"/>
        <v/>
      </c>
      <c r="CP221" s="22" t="str">
        <f t="shared" si="22"/>
        <v/>
      </c>
      <c r="CQ221" s="22" t="str">
        <f t="shared" si="23"/>
        <v/>
      </c>
      <c r="CR221" s="22" t="str">
        <f t="shared" si="24"/>
        <v/>
      </c>
      <c r="CS221" s="22" t="str">
        <f t="shared" si="25"/>
        <v/>
      </c>
    </row>
    <row r="222" spans="1:97" x14ac:dyDescent="0.3">
      <c r="A222" s="22"/>
      <c r="B222" s="22" t="s">
        <v>779</v>
      </c>
      <c r="D222" s="22" t="s">
        <v>137</v>
      </c>
      <c r="H222" s="154">
        <f>Tabel2[[#This Row],[pnt t/m 2021/22]]+Tabel2[[#This Row],[pnt 2022/2023]]</f>
        <v>0</v>
      </c>
      <c r="J222">
        <v>2023</v>
      </c>
      <c r="K222" s="24">
        <f>Tabel2[[#This Row],[ijkdatum]]-Tabel2[[#This Row],[Geboren]]</f>
        <v>2023</v>
      </c>
      <c r="L222" s="26">
        <f>Tabel2[[#This Row],[TTL 1]]+Tabel2[[#This Row],[TTL 2]]+Tabel2[[#This Row],[TTL 3]]+Tabel2[[#This Row],[TTL 4]]+Tabel2[[#This Row],[TTL 5]]+Tabel2[[#This Row],[TTL 6]]+Tabel2[[#This Row],[TTL 7]]+Tabel2[[#This Row],[TTL 8]]+Tabel2[[#This Row],[TTL 9]]+Tabel2[[#This Row],[TTL 10]]</f>
        <v>0</v>
      </c>
      <c r="M222" s="151"/>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 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30">
        <f>Tabel2[[#This Row],[Diploma]]-Tabel2[[#This Row],[Uitgeschreven]]</f>
        <v>0</v>
      </c>
      <c r="BY222" s="14" t="str">
        <f t="shared" si="20"/>
        <v>geen actie</v>
      </c>
      <c r="CB222" s="150">
        <f>Tabel2[[#This Row],[pnt 2022/2023]]</f>
        <v>0</v>
      </c>
      <c r="CC222" s="150">
        <f t="shared" si="27"/>
        <v>0</v>
      </c>
      <c r="CD222" s="150">
        <f>IF(Tabel2[[#This Row],[LPR 1]]&gt;0,1,0)</f>
        <v>0</v>
      </c>
      <c r="CE222" s="150">
        <f>IF(Tabel2[[#This Row],[LPR 2]]&gt;0,1,0)</f>
        <v>0</v>
      </c>
      <c r="CF222" s="150">
        <f>IF(Tabel2[[#This Row],[LPR 3]]&gt;0,1,0)</f>
        <v>0</v>
      </c>
      <c r="CG222" s="150">
        <f>IF(Tabel2[[#This Row],[LPR 4]]&gt;0,1,0)</f>
        <v>0</v>
      </c>
      <c r="CH222" s="150">
        <f>IF(Tabel2[[#This Row],[LPR 5]]&gt;0,1,0)</f>
        <v>0</v>
      </c>
      <c r="CI222" s="150">
        <f>IF(Tabel2[[#This Row],[LPR 6]]&gt;0,1,0)</f>
        <v>0</v>
      </c>
      <c r="CJ222" s="150">
        <f>IF(Tabel2[[#This Row],[LPR 7]]&gt;0,1,0)</f>
        <v>0</v>
      </c>
      <c r="CK222" s="150">
        <f>IF(Tabel2[[#This Row],[LPR 8]]&gt;0,1,0)</f>
        <v>0</v>
      </c>
      <c r="CL222" s="150">
        <f>IF(Tabel2[[#This Row],[LPR 9]]&gt;0,1,0)</f>
        <v>0</v>
      </c>
      <c r="CM222" s="150">
        <f>IF(Tabel2[[#This Row],[LPR 10]]&gt;0,1,0)</f>
        <v>0</v>
      </c>
      <c r="CN222" s="150">
        <f>SUM(Tabel7[[#This Row],[sep]:[jun]])</f>
        <v>0</v>
      </c>
      <c r="CO222" s="22" t="str">
        <f t="shared" si="21"/>
        <v/>
      </c>
      <c r="CP222" s="22" t="str">
        <f t="shared" si="22"/>
        <v/>
      </c>
      <c r="CQ222" s="22" t="str">
        <f t="shared" si="23"/>
        <v/>
      </c>
      <c r="CR222" s="22" t="str">
        <f t="shared" si="24"/>
        <v/>
      </c>
      <c r="CS222" s="22" t="str">
        <f t="shared" si="25"/>
        <v/>
      </c>
    </row>
    <row r="223" spans="1:97" x14ac:dyDescent="0.3">
      <c r="A223" s="22"/>
      <c r="B223" s="22" t="s">
        <v>779</v>
      </c>
      <c r="D223" s="22" t="s">
        <v>137</v>
      </c>
      <c r="H223" s="27">
        <f>Tabel2[[#This Row],[pnt t/m 2021/22]]+Tabel2[[#This Row],[pnt 2022/2023]]</f>
        <v>0</v>
      </c>
      <c r="J223">
        <v>2023</v>
      </c>
      <c r="K223" s="24">
        <f>Tabel2[[#This Row],[ijkdatum]]-Tabel2[[#This Row],[Geboren]]</f>
        <v>2023</v>
      </c>
      <c r="L223" s="26">
        <f>Tabel2[[#This Row],[TTL 1]]+Tabel2[[#This Row],[TTL 2]]+Tabel2[[#This Row],[TTL 3]]+Tabel2[[#This Row],[TTL 4]]+Tabel2[[#This Row],[TTL 5]]+Tabel2[[#This Row],[TTL 6]]+Tabel2[[#This Row],[TTL 7]]+Tabel2[[#This Row],[TTL 8]]+Tabel2[[#This Row],[TTL 9]]+Tabel2[[#This Row],[TTL 10]]</f>
        <v>0</v>
      </c>
      <c r="M223" s="157"/>
      <c r="N223" s="31"/>
      <c r="O223">
        <v>1</v>
      </c>
      <c r="S223" s="157">
        <f>SUM(Tabel2[[#This Row],[V 1]]*10+Tabel2[[#This Row],[GT 1]])/Tabel2[[#This Row],[AW 1]]*10+Tabel2[[#This Row],[BONUS 1]]</f>
        <v>0</v>
      </c>
      <c r="U223">
        <v>1</v>
      </c>
      <c r="Y223" s="157">
        <f>SUM(Tabel2[[#This Row],[V 2]]*10+Tabel2[[#This Row],[GT 2]])/Tabel2[[#This Row],[AW 2]]*10+Tabel2[[#This Row],[BONUS 2]]</f>
        <v>0</v>
      </c>
      <c r="AA223">
        <v>1</v>
      </c>
      <c r="AE223" s="157">
        <f>SUM(Tabel2[[#This Row],[V 3]]*10+Tabel2[[#This Row],[GT 3]])/Tabel2[[#This Row],[AW 3]]*10+Tabel2[[#This Row],[BONUS 3]]</f>
        <v>0</v>
      </c>
      <c r="AG223">
        <v>1</v>
      </c>
      <c r="AK223" s="157">
        <f>SUM(Tabel2[[#This Row],[V 4]]*10+Tabel2[[#This Row],[GT 4]])/Tabel2[[#This Row],[AW 4]]*10+Tabel2[[#This Row],[BONUS 4]]</f>
        <v>0</v>
      </c>
      <c r="AM223">
        <v>1</v>
      </c>
      <c r="AQ223" s="157">
        <f>SUM(Tabel2[[#This Row],[V 5]]*10+Tabel2[[#This Row],[GT 5]])/Tabel2[[#This Row],[AW 5]]*10+Tabel2[[#This Row],[BONUS 5]]</f>
        <v>0</v>
      </c>
      <c r="AS223">
        <v>1</v>
      </c>
      <c r="AW223" s="157">
        <f>SUM(Tabel2[[#This Row],[V 6]]*10+Tabel2[[#This Row],[GT 6]])/Tabel2[[#This Row],[AW 6]]*10+Tabel2[[#This Row],[BONUS 6]]</f>
        <v>0</v>
      </c>
      <c r="AY223">
        <v>1</v>
      </c>
      <c r="BC223" s="157">
        <f>SUM(Tabel2[[#This Row],[V 7]]*10+Tabel2[[#This Row],[GT 7]])/Tabel2[[#This Row],[AW 7]]*10+Tabel2[[#This Row],[BONUS 7]]</f>
        <v>0</v>
      </c>
      <c r="BE223">
        <v>1</v>
      </c>
      <c r="BI223" s="157">
        <f>SUM(Tabel2[[#This Row],[V 8]]*10+Tabel2[[#This Row],[GT 8]])/Tabel2[[#This Row],[AW 8]]*10+Tabel2[[#This Row],[BONUS 8]]</f>
        <v>0</v>
      </c>
      <c r="BK223">
        <v>1</v>
      </c>
      <c r="BO223" s="15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 t="shared" si="20"/>
        <v>geen actie</v>
      </c>
      <c r="CB223" s="150">
        <f>Tabel2[[#This Row],[pnt 2022/2023]]</f>
        <v>0</v>
      </c>
      <c r="CC223" s="150">
        <f t="shared" si="27"/>
        <v>0</v>
      </c>
      <c r="CD223" s="150">
        <f>IF(Tabel2[[#This Row],[LPR 1]]&gt;0,1,0)</f>
        <v>0</v>
      </c>
      <c r="CE223" s="150">
        <f>IF(Tabel2[[#This Row],[LPR 2]]&gt;0,1,0)</f>
        <v>0</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0</v>
      </c>
      <c r="CO223" s="22" t="str">
        <f t="shared" si="21"/>
        <v/>
      </c>
      <c r="CP223" s="22" t="str">
        <f t="shared" si="22"/>
        <v/>
      </c>
      <c r="CQ223" s="22" t="str">
        <f t="shared" si="23"/>
        <v/>
      </c>
      <c r="CR223" s="22" t="str">
        <f t="shared" si="24"/>
        <v/>
      </c>
      <c r="CS223" s="22" t="str">
        <f t="shared" si="25"/>
        <v/>
      </c>
    </row>
    <row r="224" spans="1:97" x14ac:dyDescent="0.3">
      <c r="A224" s="22"/>
      <c r="B224" s="22" t="s">
        <v>779</v>
      </c>
      <c r="D224" s="22" t="s">
        <v>137</v>
      </c>
      <c r="H224" s="154">
        <f>Tabel2[[#This Row],[pnt t/m 2021/22]]+Tabel2[[#This Row],[pnt 2022/2023]]</f>
        <v>0</v>
      </c>
      <c r="J224">
        <v>2023</v>
      </c>
      <c r="K224" s="24">
        <f>Tabel2[[#This Row],[ijkdatum]]-Tabel2[[#This Row],[Geboren]]</f>
        <v>2023</v>
      </c>
      <c r="L224" s="26">
        <f>Tabel2[[#This Row],[TTL 1]]+Tabel2[[#This Row],[TTL 2]]+Tabel2[[#This Row],[TTL 3]]+Tabel2[[#This Row],[TTL 4]]+Tabel2[[#This Row],[TTL 5]]+Tabel2[[#This Row],[TTL 6]]+Tabel2[[#This Row],[TTL 7]]+Tabel2[[#This Row],[TTL 8]]+Tabel2[[#This Row],[TTL 9]]+Tabel2[[#This Row],[TTL 10]]</f>
        <v>0</v>
      </c>
      <c r="M224" s="151"/>
      <c r="N224" s="31"/>
      <c r="O224">
        <v>1</v>
      </c>
      <c r="S224" s="27">
        <f>SUM(Tabel2[[#This Row],[V 1]]*10+Tabel2[[#This Row],[GT 1]])/Tabel2[[#This Row],[AW 1]]*10+Tabel2[[#This Row],[BONUS 1]]</f>
        <v>0</v>
      </c>
      <c r="U224">
        <v>1</v>
      </c>
      <c r="Y224" s="27">
        <f>SUM(Tabel2[[#This Row],[V 2]]*10+Tabel2[[#This Row],[GT 2]])/Tabel2[[#This Row],[AW 2]]*10+Tabel2[[#This Row],[BONUS 2]]</f>
        <v>0</v>
      </c>
      <c r="AA224">
        <v>1</v>
      </c>
      <c r="AE224" s="27">
        <f>SUM(Tabel2[[#This Row],[V 3]]*10+Tabel2[[#This Row],[GT 3]])/Tabel2[[#This Row],[AW 3]]*10+Tabel2[[#This Row],[BONUS 3]]</f>
        <v>0</v>
      </c>
      <c r="AG224">
        <v>1</v>
      </c>
      <c r="AK224" s="27">
        <f>SUM(Tabel2[[#This Row],[V 4]]*10+Tabel2[[#This Row],[GT 4]])/Tabel2[[#This Row],[AW 4]]*10+Tabel2[[#This Row],[BONUS 4]]</f>
        <v>0</v>
      </c>
      <c r="AM224">
        <v>1</v>
      </c>
      <c r="AQ224" s="27">
        <f>SUM(Tabel2[[#This Row],[V 5]]*10+Tabel2[[#This Row],[GT 5]])/Tabel2[[#This Row],[AW 5]]*10+Tabel2[[#This Row],[BONUS 5]]</f>
        <v>0</v>
      </c>
      <c r="AS224">
        <v>1</v>
      </c>
      <c r="AW224" s="27">
        <f>SUM(Tabel2[[#This Row],[V 6]]*10+Tabel2[[#This Row],[GT 6]])/Tabel2[[#This Row],[AW 6]]*10+Tabel2[[#This Row],[BONUS 6]]</f>
        <v>0</v>
      </c>
      <c r="AY224">
        <v>1</v>
      </c>
      <c r="BC224" s="27">
        <f>SUM(Tabel2[[#This Row],[V 7]]*10+Tabel2[[#This Row],[GT 7]])/Tabel2[[#This Row],[AW 7]]*10+Tabel2[[#This Row],[BONUS 7]]</f>
        <v>0</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4" s="22">
        <v>0</v>
      </c>
      <c r="BX224" s="30">
        <f>Tabel2[[#This Row],[Diploma]]-Tabel2[[#This Row],[Uitgeschreven]]</f>
        <v>0</v>
      </c>
      <c r="BY224" s="14" t="str">
        <f t="shared" si="20"/>
        <v>geen actie</v>
      </c>
      <c r="CB224" s="150">
        <f>Tabel2[[#This Row],[pnt 2022/2023]]</f>
        <v>0</v>
      </c>
      <c r="CC224" s="150">
        <f t="shared" si="27"/>
        <v>0</v>
      </c>
      <c r="CD224" s="150">
        <f>IF(Tabel2[[#This Row],[LPR 1]]&gt;0,1,0)</f>
        <v>0</v>
      </c>
      <c r="CE224" s="150">
        <f>IF(Tabel2[[#This Row],[LPR 2]]&gt;0,1,0)</f>
        <v>0</v>
      </c>
      <c r="CF224" s="150">
        <f>IF(Tabel2[[#This Row],[LPR 3]]&gt;0,1,0)</f>
        <v>0</v>
      </c>
      <c r="CG224" s="150">
        <f>IF(Tabel2[[#This Row],[LPR 4]]&gt;0,1,0)</f>
        <v>0</v>
      </c>
      <c r="CH224" s="150">
        <f>IF(Tabel2[[#This Row],[LPR 5]]&gt;0,1,0)</f>
        <v>0</v>
      </c>
      <c r="CI224" s="150">
        <f>IF(Tabel2[[#This Row],[LPR 6]]&gt;0,1,0)</f>
        <v>0</v>
      </c>
      <c r="CJ224" s="150">
        <f>IF(Tabel2[[#This Row],[LPR 7]]&gt;0,1,0)</f>
        <v>0</v>
      </c>
      <c r="CK224" s="150">
        <f>IF(Tabel2[[#This Row],[LPR 8]]&gt;0,1,0)</f>
        <v>0</v>
      </c>
      <c r="CL224" s="150">
        <f>IF(Tabel2[[#This Row],[LPR 9]]&gt;0,1,0)</f>
        <v>0</v>
      </c>
      <c r="CM224" s="150">
        <f>IF(Tabel2[[#This Row],[LPR 10]]&gt;0,1,0)</f>
        <v>0</v>
      </c>
      <c r="CN224" s="150">
        <f>SUM(Tabel7[[#This Row],[sep]:[jun]])</f>
        <v>0</v>
      </c>
      <c r="CO224" s="22" t="str">
        <f t="shared" si="21"/>
        <v/>
      </c>
      <c r="CP224" s="22" t="str">
        <f t="shared" si="22"/>
        <v/>
      </c>
      <c r="CQ224" s="22" t="str">
        <f t="shared" si="23"/>
        <v/>
      </c>
      <c r="CR224" s="22" t="str">
        <f t="shared" si="24"/>
        <v/>
      </c>
      <c r="CS224" s="22" t="str">
        <f t="shared" si="25"/>
        <v/>
      </c>
    </row>
    <row r="225" spans="1:97" x14ac:dyDescent="0.3">
      <c r="A225" s="22"/>
      <c r="B225" s="22" t="s">
        <v>779</v>
      </c>
      <c r="D225" s="22" t="s">
        <v>137</v>
      </c>
      <c r="H225" s="154">
        <f>Tabel2[[#This Row],[pnt t/m 2021/22]]+Tabel2[[#This Row],[pnt 2022/2023]]</f>
        <v>0</v>
      </c>
      <c r="J225">
        <v>2023</v>
      </c>
      <c r="K225" s="24">
        <f>Tabel2[[#This Row],[ijkdatum]]-Tabel2[[#This Row],[Geboren]]</f>
        <v>2023</v>
      </c>
      <c r="L225" s="26">
        <f>Tabel2[[#This Row],[TTL 1]]+Tabel2[[#This Row],[TTL 2]]+Tabel2[[#This Row],[TTL 3]]+Tabel2[[#This Row],[TTL 4]]+Tabel2[[#This Row],[TTL 5]]+Tabel2[[#This Row],[TTL 6]]+Tabel2[[#This Row],[TTL 7]]+Tabel2[[#This Row],[TTL 8]]+Tabel2[[#This Row],[TTL 9]]+Tabel2[[#This Row],[TTL 10]]</f>
        <v>0</v>
      </c>
      <c r="M225" s="151"/>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 6]])/Tabel2[[#This Row],[AW 6]]*10+Tabel2[[#This Row],[BONUS 6]]</f>
        <v>0</v>
      </c>
      <c r="AY225">
        <v>1</v>
      </c>
      <c r="BC225" s="27">
        <f>SUM(Tabel2[[#This Row],[V 7]]*10+Tabel2[[#This Row],[GT 7]])/Tabel2[[#This Row],[AW 7]]*10+Tabel2[[#This Row],[BONUS 7]]</f>
        <v>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 t="shared" si="20"/>
        <v>geen actie</v>
      </c>
      <c r="CB225" s="150">
        <f>Tabel2[[#This Row],[pnt 2022/2023]]</f>
        <v>0</v>
      </c>
      <c r="CC225" s="150">
        <f t="shared" si="27"/>
        <v>0</v>
      </c>
      <c r="CD225" s="150">
        <f>IF(Tabel2[[#This Row],[LPR 1]]&gt;0,1,0)</f>
        <v>0</v>
      </c>
      <c r="CE225" s="150">
        <f>IF(Tabel2[[#This Row],[LPR 2]]&gt;0,1,0)</f>
        <v>0</v>
      </c>
      <c r="CF225" s="150">
        <f>IF(Tabel2[[#This Row],[LPR 3]]&gt;0,1,0)</f>
        <v>0</v>
      </c>
      <c r="CG225" s="150">
        <f>IF(Tabel2[[#This Row],[LPR 4]]&gt;0,1,0)</f>
        <v>0</v>
      </c>
      <c r="CH225" s="150">
        <f>IF(Tabel2[[#This Row],[LPR 5]]&gt;0,1,0)</f>
        <v>0</v>
      </c>
      <c r="CI225" s="150">
        <f>IF(Tabel2[[#This Row],[LPR 6]]&gt;0,1,0)</f>
        <v>0</v>
      </c>
      <c r="CJ225" s="150">
        <f>IF(Tabel2[[#This Row],[LPR 7]]&gt;0,1,0)</f>
        <v>0</v>
      </c>
      <c r="CK225" s="150">
        <f>IF(Tabel2[[#This Row],[LPR 8]]&gt;0,1,0)</f>
        <v>0</v>
      </c>
      <c r="CL225" s="150">
        <f>IF(Tabel2[[#This Row],[LPR 9]]&gt;0,1,0)</f>
        <v>0</v>
      </c>
      <c r="CM225" s="150">
        <f>IF(Tabel2[[#This Row],[LPR 10]]&gt;0,1,0)</f>
        <v>0</v>
      </c>
      <c r="CN225" s="150">
        <f>SUM(Tabel7[[#This Row],[sep]:[jun]])</f>
        <v>0</v>
      </c>
      <c r="CO225" s="22" t="str">
        <f t="shared" si="21"/>
        <v/>
      </c>
      <c r="CP225" s="22" t="str">
        <f t="shared" si="22"/>
        <v/>
      </c>
      <c r="CQ225" s="22" t="str">
        <f t="shared" si="23"/>
        <v/>
      </c>
      <c r="CR225" s="22" t="str">
        <f t="shared" si="24"/>
        <v/>
      </c>
      <c r="CS225" s="22" t="str">
        <f t="shared" si="25"/>
        <v/>
      </c>
    </row>
    <row r="226" spans="1:97" x14ac:dyDescent="0.3">
      <c r="A226" s="22"/>
      <c r="B226" s="22" t="s">
        <v>779</v>
      </c>
      <c r="D226" s="22" t="s">
        <v>137</v>
      </c>
      <c r="H226" s="154">
        <f>Tabel2[[#This Row],[pnt t/m 2021/22]]+Tabel2[[#This Row],[pnt 2022/2023]]</f>
        <v>0</v>
      </c>
      <c r="J226">
        <v>2023</v>
      </c>
      <c r="K226" s="24">
        <f>Tabel2[[#This Row],[ijkdatum]]-Tabel2[[#This Row],[Geboren]]</f>
        <v>2023</v>
      </c>
      <c r="L226" s="26">
        <f>Tabel2[[#This Row],[TTL 1]]+Tabel2[[#This Row],[TTL 2]]+Tabel2[[#This Row],[TTL 3]]+Tabel2[[#This Row],[TTL 4]]+Tabel2[[#This Row],[TTL 5]]+Tabel2[[#This Row],[TTL 6]]+Tabel2[[#This Row],[TTL 7]]+Tabel2[[#This Row],[TTL 8]]+Tabel2[[#This Row],[TTL 9]]+Tabel2[[#This Row],[TTL 10]]</f>
        <v>0</v>
      </c>
      <c r="M226" s="151"/>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M226">
        <v>1</v>
      </c>
      <c r="AQ226" s="27">
        <f>SUM(Tabel2[[#This Row],[V 5]]*10+Tabel2[[#This Row],[GT 5]])/Tabel2[[#This Row],[AW 5]]*10+Tabel2[[#This Row],[BONUS 5]]</f>
        <v>0</v>
      </c>
      <c r="AS226">
        <v>1</v>
      </c>
      <c r="AW226" s="27">
        <f>SUM(Tabel2[[#This Row],[V 6]]*10+Tabel2[[#This Row],[GT 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 t="shared" si="20"/>
        <v>geen actie</v>
      </c>
      <c r="CB226" s="150">
        <f>Tabel2[[#This Row],[pnt 2022/2023]]</f>
        <v>0</v>
      </c>
      <c r="CC226" s="150">
        <f t="shared" si="27"/>
        <v>0</v>
      </c>
      <c r="CD226" s="150">
        <f>IF(Tabel2[[#This Row],[LPR 1]]&gt;0,1,0)</f>
        <v>0</v>
      </c>
      <c r="CE226" s="150">
        <f>IF(Tabel2[[#This Row],[LPR 2]]&gt;0,1,0)</f>
        <v>0</v>
      </c>
      <c r="CF226" s="150">
        <f>IF(Tabel2[[#This Row],[LPR 3]]&gt;0,1,0)</f>
        <v>0</v>
      </c>
      <c r="CG226" s="150">
        <f>IF(Tabel2[[#This Row],[LPR 4]]&gt;0,1,0)</f>
        <v>0</v>
      </c>
      <c r="CH226" s="150">
        <f>IF(Tabel2[[#This Row],[LPR 5]]&gt;0,1,0)</f>
        <v>0</v>
      </c>
      <c r="CI226" s="150">
        <f>IF(Tabel2[[#This Row],[LPR 6]]&gt;0,1,0)</f>
        <v>0</v>
      </c>
      <c r="CJ226" s="150">
        <f>IF(Tabel2[[#This Row],[LPR 7]]&gt;0,1,0)</f>
        <v>0</v>
      </c>
      <c r="CK226" s="150">
        <f>IF(Tabel2[[#This Row],[LPR 8]]&gt;0,1,0)</f>
        <v>0</v>
      </c>
      <c r="CL226" s="150">
        <f>IF(Tabel2[[#This Row],[LPR 9]]&gt;0,1,0)</f>
        <v>0</v>
      </c>
      <c r="CM226" s="150">
        <f>IF(Tabel2[[#This Row],[LPR 10]]&gt;0,1,0)</f>
        <v>0</v>
      </c>
      <c r="CN226" s="150">
        <f>SUM(Tabel7[[#This Row],[sep]:[jun]])</f>
        <v>0</v>
      </c>
      <c r="CO226" s="22" t="str">
        <f t="shared" si="21"/>
        <v/>
      </c>
      <c r="CP226" s="22" t="str">
        <f t="shared" si="22"/>
        <v/>
      </c>
      <c r="CQ226" s="22" t="str">
        <f t="shared" si="23"/>
        <v/>
      </c>
      <c r="CR226" s="22" t="str">
        <f t="shared" si="24"/>
        <v/>
      </c>
      <c r="CS226" s="22" t="str">
        <f t="shared" si="25"/>
        <v/>
      </c>
    </row>
    <row r="227" spans="1:97" x14ac:dyDescent="0.3">
      <c r="A227" s="22"/>
      <c r="B227" s="22" t="s">
        <v>779</v>
      </c>
      <c r="D227" s="22" t="s">
        <v>137</v>
      </c>
      <c r="H227" s="154">
        <f>Tabel2[[#This Row],[pnt t/m 2021/22]]+Tabel2[[#This Row],[pnt 2022/2023]]</f>
        <v>0</v>
      </c>
      <c r="J227">
        <v>2023</v>
      </c>
      <c r="K227" s="24">
        <f>Tabel2[[#This Row],[ijkdatum]]-Tabel2[[#This Row],[Geboren]]</f>
        <v>2023</v>
      </c>
      <c r="L227" s="26">
        <f>Tabel2[[#This Row],[TTL 1]]+Tabel2[[#This Row],[TTL 2]]+Tabel2[[#This Row],[TTL 3]]+Tabel2[[#This Row],[TTL 4]]+Tabel2[[#This Row],[TTL 5]]+Tabel2[[#This Row],[TTL 6]]+Tabel2[[#This Row],[TTL 7]]+Tabel2[[#This Row],[TTL 8]]+Tabel2[[#This Row],[TTL 9]]+Tabel2[[#This Row],[TTL 10]]</f>
        <v>0</v>
      </c>
      <c r="M227" s="151"/>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 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 t="shared" si="20"/>
        <v>geen actie</v>
      </c>
      <c r="CB227" s="150">
        <f>Tabel2[[#This Row],[pnt 2022/2023]]</f>
        <v>0</v>
      </c>
      <c r="CC227" s="150">
        <f t="shared" si="27"/>
        <v>0</v>
      </c>
      <c r="CD227" s="150">
        <f>IF(Tabel2[[#This Row],[LPR 1]]&gt;0,1,0)</f>
        <v>0</v>
      </c>
      <c r="CE227" s="150">
        <f>IF(Tabel2[[#This Row],[LPR 2]]&gt;0,1,0)</f>
        <v>0</v>
      </c>
      <c r="CF227" s="150">
        <f>IF(Tabel2[[#This Row],[LPR 3]]&gt;0,1,0)</f>
        <v>0</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0</v>
      </c>
      <c r="CO227" s="22" t="str">
        <f t="shared" si="21"/>
        <v/>
      </c>
      <c r="CP227" s="22" t="str">
        <f t="shared" si="22"/>
        <v/>
      </c>
      <c r="CQ227" s="22" t="str">
        <f t="shared" si="23"/>
        <v/>
      </c>
      <c r="CR227" s="22" t="str">
        <f t="shared" si="24"/>
        <v/>
      </c>
      <c r="CS227" s="22" t="str">
        <f t="shared" si="25"/>
        <v/>
      </c>
    </row>
    <row r="228" spans="1:97" x14ac:dyDescent="0.3">
      <c r="A228" s="22"/>
      <c r="B228" s="22" t="s">
        <v>779</v>
      </c>
      <c r="D228" s="22" t="s">
        <v>137</v>
      </c>
      <c r="H228" s="154">
        <f>Tabel2[[#This Row],[pnt t/m 2021/22]]+Tabel2[[#This Row],[pnt 2022/2023]]</f>
        <v>0</v>
      </c>
      <c r="J228">
        <v>2023</v>
      </c>
      <c r="K228" s="24">
        <f>Tabel2[[#This Row],[ijkdatum]]-Tabel2[[#This Row],[Geboren]]</f>
        <v>2023</v>
      </c>
      <c r="L228" s="26">
        <f>Tabel2[[#This Row],[TTL 1]]+Tabel2[[#This Row],[TTL 2]]+Tabel2[[#This Row],[TTL 3]]+Tabel2[[#This Row],[TTL 4]]+Tabel2[[#This Row],[TTL 5]]+Tabel2[[#This Row],[TTL 6]]+Tabel2[[#This Row],[TTL 7]]+Tabel2[[#This Row],[TTL 8]]+Tabel2[[#This Row],[TTL 9]]+Tabel2[[#This Row],[TTL 10]]</f>
        <v>0</v>
      </c>
      <c r="M228" s="151"/>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 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30">
        <f>Tabel2[[#This Row],[Diploma]]-Tabel2[[#This Row],[Uitgeschreven]]</f>
        <v>0</v>
      </c>
      <c r="BY228" s="14" t="str">
        <f t="shared" si="20"/>
        <v>geen actie</v>
      </c>
      <c r="CB228" s="150">
        <f>Tabel2[[#This Row],[pnt 2022/2023]]</f>
        <v>0</v>
      </c>
      <c r="CC228" s="150">
        <f t="shared" si="27"/>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21"/>
        <v/>
      </c>
      <c r="CP228" s="22" t="str">
        <f t="shared" si="22"/>
        <v/>
      </c>
      <c r="CQ228" s="22" t="str">
        <f t="shared" si="23"/>
        <v/>
      </c>
      <c r="CR228" s="22" t="str">
        <f t="shared" si="24"/>
        <v/>
      </c>
      <c r="CS228" s="22" t="str">
        <f t="shared" si="25"/>
        <v/>
      </c>
    </row>
    <row r="229" spans="1:97" x14ac:dyDescent="0.3">
      <c r="A229" s="22"/>
      <c r="B229" s="22" t="s">
        <v>779</v>
      </c>
      <c r="D229" s="22" t="s">
        <v>137</v>
      </c>
      <c r="H229" s="154">
        <f>Tabel2[[#This Row],[pnt t/m 2021/22]]+Tabel2[[#This Row],[pnt 2022/2023]]</f>
        <v>0</v>
      </c>
      <c r="J229">
        <v>2023</v>
      </c>
      <c r="K229" s="24">
        <f>Tabel2[[#This Row],[ijkdatum]]-Tabel2[[#This Row],[Geboren]]</f>
        <v>2023</v>
      </c>
      <c r="L229" s="26">
        <f>Tabel2[[#This Row],[TTL 1]]+Tabel2[[#This Row],[TTL 2]]+Tabel2[[#This Row],[TTL 3]]+Tabel2[[#This Row],[TTL 4]]+Tabel2[[#This Row],[TTL 5]]+Tabel2[[#This Row],[TTL 6]]+Tabel2[[#This Row],[TTL 7]]+Tabel2[[#This Row],[TTL 8]]+Tabel2[[#This Row],[TTL 9]]+Tabel2[[#This Row],[TTL 10]]</f>
        <v>0</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G229">
        <v>1</v>
      </c>
      <c r="AK229" s="27">
        <f>SUM(Tabel2[[#This Row],[V 4]]*10+Tabel2[[#This Row],[GT 4]])/Tabel2[[#This Row],[AW 4]]*10+Tabel2[[#This Row],[BONUS 4]]</f>
        <v>0</v>
      </c>
      <c r="AM229">
        <v>1</v>
      </c>
      <c r="AQ229" s="27">
        <f>SUM(Tabel2[[#This Row],[V 5]]*10+Tabel2[[#This Row],[GT 5]])/Tabel2[[#This Row],[AW 5]]*10+Tabel2[[#This Row],[BONUS 5]]</f>
        <v>0</v>
      </c>
      <c r="AS229">
        <v>1</v>
      </c>
      <c r="AW229" s="27">
        <f>SUM(Tabel2[[#This Row],[V 6]]*10+Tabel2[[#This Row],[GT 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 t="shared" si="20"/>
        <v>geen actie</v>
      </c>
      <c r="CB229" s="150">
        <f>Tabel2[[#This Row],[pnt 2022/2023]]</f>
        <v>0</v>
      </c>
      <c r="CC229" s="150">
        <f t="shared" si="27"/>
        <v>0</v>
      </c>
      <c r="CD229" s="150">
        <f>IF(Tabel2[[#This Row],[LPR 1]]&gt;0,1,0)</f>
        <v>0</v>
      </c>
      <c r="CE229" s="150">
        <f>IF(Tabel2[[#This Row],[LPR 2]]&gt;0,1,0)</f>
        <v>0</v>
      </c>
      <c r="CF229" s="150">
        <f>IF(Tabel2[[#This Row],[LPR 3]]&gt;0,1,0)</f>
        <v>0</v>
      </c>
      <c r="CG229" s="150">
        <f>IF(Tabel2[[#This Row],[LPR 4]]&gt;0,1,0)</f>
        <v>0</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0</v>
      </c>
      <c r="CO229" s="22" t="str">
        <f t="shared" si="21"/>
        <v/>
      </c>
      <c r="CP229" s="22" t="str">
        <f t="shared" si="22"/>
        <v/>
      </c>
      <c r="CQ229" s="22" t="str">
        <f t="shared" si="23"/>
        <v/>
      </c>
      <c r="CR229" s="22" t="str">
        <f t="shared" si="24"/>
        <v/>
      </c>
      <c r="CS229" s="22" t="str">
        <f t="shared" si="25"/>
        <v/>
      </c>
    </row>
    <row r="230" spans="1:97" x14ac:dyDescent="0.3">
      <c r="A230" s="22"/>
      <c r="B230" s="22" t="s">
        <v>779</v>
      </c>
      <c r="D230" s="22" t="s">
        <v>137</v>
      </c>
      <c r="H230" s="154">
        <f>Tabel2[[#This Row],[pnt t/m 2021/22]]+Tabel2[[#This Row],[pnt 2022/2023]]</f>
        <v>0</v>
      </c>
      <c r="J230">
        <v>2023</v>
      </c>
      <c r="K230" s="24">
        <f>Tabel2[[#This Row],[ijkdatum]]-Tabel2[[#This Row],[Geboren]]</f>
        <v>2023</v>
      </c>
      <c r="L230" s="26">
        <f>Tabel2[[#This Row],[TTL 1]]+Tabel2[[#This Row],[TTL 2]]+Tabel2[[#This Row],[TTL 3]]+Tabel2[[#This Row],[TTL 4]]+Tabel2[[#This Row],[TTL 5]]+Tabel2[[#This Row],[TTL 6]]+Tabel2[[#This Row],[TTL 7]]+Tabel2[[#This Row],[TTL 8]]+Tabel2[[#This Row],[TTL 9]]+Tabel2[[#This Row],[TTL 10]]</f>
        <v>0</v>
      </c>
      <c r="M230" s="151"/>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 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 t="shared" si="20"/>
        <v>geen actie</v>
      </c>
      <c r="CB230" s="150">
        <f>Tabel2[[#This Row],[pnt 2022/2023]]</f>
        <v>0</v>
      </c>
      <c r="CC230" s="150">
        <f t="shared" si="27"/>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21"/>
        <v/>
      </c>
      <c r="CP230" s="22" t="str">
        <f t="shared" si="22"/>
        <v/>
      </c>
      <c r="CQ230" s="22" t="str">
        <f t="shared" si="23"/>
        <v/>
      </c>
      <c r="CR230" s="22" t="str">
        <f t="shared" si="24"/>
        <v/>
      </c>
      <c r="CS230" s="22" t="str">
        <f t="shared" si="25"/>
        <v/>
      </c>
    </row>
    <row r="231" spans="1:97" x14ac:dyDescent="0.3">
      <c r="A231" s="22"/>
      <c r="B231" s="22" t="s">
        <v>779</v>
      </c>
      <c r="D231" s="22" t="s">
        <v>137</v>
      </c>
      <c r="H231" s="154">
        <f>Tabel2[[#This Row],[pnt t/m 2021/22]]+Tabel2[[#This Row],[pnt 2022/2023]]</f>
        <v>0</v>
      </c>
      <c r="J231">
        <v>2023</v>
      </c>
      <c r="K231" s="24">
        <f>Tabel2[[#This Row],[ijkdatum]]-Tabel2[[#This Row],[Geboren]]</f>
        <v>2023</v>
      </c>
      <c r="L231" s="26">
        <f>Tabel2[[#This Row],[TTL 1]]+Tabel2[[#This Row],[TTL 2]]+Tabel2[[#This Row],[TTL 3]]+Tabel2[[#This Row],[TTL 4]]+Tabel2[[#This Row],[TTL 5]]+Tabel2[[#This Row],[TTL 6]]+Tabel2[[#This Row],[TTL 7]]+Tabel2[[#This Row],[TTL 8]]+Tabel2[[#This Row],[TTL 9]]+Tabel2[[#This Row],[TTL 10]]</f>
        <v>0</v>
      </c>
      <c r="M231" s="151"/>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 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 t="shared" si="20"/>
        <v>geen actie</v>
      </c>
      <c r="CB231" s="150">
        <f>Tabel2[[#This Row],[pnt 2022/2023]]</f>
        <v>0</v>
      </c>
      <c r="CC231" s="150">
        <f t="shared" si="27"/>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21"/>
        <v/>
      </c>
      <c r="CP231" s="22" t="str">
        <f t="shared" si="22"/>
        <v/>
      </c>
      <c r="CQ231" s="22" t="str">
        <f t="shared" si="23"/>
        <v/>
      </c>
      <c r="CR231" s="22" t="str">
        <f t="shared" si="24"/>
        <v/>
      </c>
      <c r="CS231" s="22" t="str">
        <f t="shared" si="25"/>
        <v/>
      </c>
    </row>
    <row r="232" spans="1:97" x14ac:dyDescent="0.3">
      <c r="A232" s="22"/>
      <c r="B232" s="22" t="s">
        <v>779</v>
      </c>
      <c r="D232" s="22" t="s">
        <v>137</v>
      </c>
      <c r="H232" s="154">
        <f>Tabel2[[#This Row],[pnt t/m 2021/22]]+Tabel2[[#This Row],[pnt 2022/2023]]</f>
        <v>0</v>
      </c>
      <c r="J232">
        <v>2023</v>
      </c>
      <c r="K232" s="24">
        <f>Tabel2[[#This Row],[ijkdatum]]-Tabel2[[#This Row],[Geboren]]</f>
        <v>2023</v>
      </c>
      <c r="L232" s="26">
        <f>Tabel2[[#This Row],[TTL 1]]+Tabel2[[#This Row],[TTL 2]]+Tabel2[[#This Row],[TTL 3]]+Tabel2[[#This Row],[TTL 4]]+Tabel2[[#This Row],[TTL 5]]+Tabel2[[#This Row],[TTL 6]]+Tabel2[[#This Row],[TTL 7]]+Tabel2[[#This Row],[TTL 8]]+Tabel2[[#This Row],[TTL 9]]+Tabel2[[#This Row],[TTL 10]]</f>
        <v>0</v>
      </c>
      <c r="M232" s="151"/>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 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 t="shared" si="20"/>
        <v>geen actie</v>
      </c>
      <c r="CB232" s="150">
        <f>Tabel2[[#This Row],[pnt 2022/2023]]</f>
        <v>0</v>
      </c>
      <c r="CC232" s="150">
        <f t="shared" si="27"/>
        <v>0</v>
      </c>
      <c r="CD232" s="150">
        <f>IF(Tabel2[[#This Row],[LPR 1]]&gt;0,1,0)</f>
        <v>0</v>
      </c>
      <c r="CE232" s="150">
        <f>IF(Tabel2[[#This Row],[LPR 2]]&gt;0,1,0)</f>
        <v>0</v>
      </c>
      <c r="CF232" s="150">
        <f>IF(Tabel2[[#This Row],[LPR 3]]&gt;0,1,0)</f>
        <v>0</v>
      </c>
      <c r="CG232" s="150">
        <f>IF(Tabel2[[#This Row],[LPR 4]]&gt;0,1,0)</f>
        <v>0</v>
      </c>
      <c r="CH232" s="150">
        <f>IF(Tabel2[[#This Row],[LPR 5]]&gt;0,1,0)</f>
        <v>0</v>
      </c>
      <c r="CI232" s="150">
        <f>IF(Tabel2[[#This Row],[LPR 6]]&gt;0,1,0)</f>
        <v>0</v>
      </c>
      <c r="CJ232" s="150">
        <f>IF(Tabel2[[#This Row],[LPR 7]]&gt;0,1,0)</f>
        <v>0</v>
      </c>
      <c r="CK232" s="150">
        <f>IF(Tabel2[[#This Row],[LPR 8]]&gt;0,1,0)</f>
        <v>0</v>
      </c>
      <c r="CL232" s="150">
        <f>IF(Tabel2[[#This Row],[LPR 9]]&gt;0,1,0)</f>
        <v>0</v>
      </c>
      <c r="CM232" s="150">
        <f>IF(Tabel2[[#This Row],[LPR 10]]&gt;0,1,0)</f>
        <v>0</v>
      </c>
      <c r="CN232" s="150">
        <f>SUM(Tabel7[[#This Row],[sep]:[jun]])</f>
        <v>0</v>
      </c>
      <c r="CO232" s="22" t="str">
        <f t="shared" si="21"/>
        <v/>
      </c>
      <c r="CP232" s="22" t="str">
        <f t="shared" si="22"/>
        <v/>
      </c>
      <c r="CQ232" s="22" t="str">
        <f t="shared" si="23"/>
        <v/>
      </c>
      <c r="CR232" s="22" t="str">
        <f t="shared" si="24"/>
        <v/>
      </c>
      <c r="CS232" s="22" t="str">
        <f t="shared" si="25"/>
        <v/>
      </c>
    </row>
    <row r="233" spans="1:97" x14ac:dyDescent="0.3">
      <c r="A233" s="22"/>
      <c r="B233" s="22" t="s">
        <v>779</v>
      </c>
      <c r="D233" s="22" t="s">
        <v>137</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 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 t="shared" si="20"/>
        <v>geen actie</v>
      </c>
      <c r="CB233" s="150">
        <f>Tabel2[[#This Row],[pnt 2022/2023]]</f>
        <v>0</v>
      </c>
      <c r="CC233" s="150">
        <f t="shared" si="27"/>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21"/>
        <v/>
      </c>
      <c r="CP233" s="22" t="str">
        <f t="shared" si="22"/>
        <v/>
      </c>
      <c r="CQ233" s="22" t="str">
        <f t="shared" si="23"/>
        <v/>
      </c>
      <c r="CR233" s="22" t="str">
        <f t="shared" si="24"/>
        <v/>
      </c>
      <c r="CS233" s="22" t="str">
        <f t="shared" si="25"/>
        <v/>
      </c>
    </row>
    <row r="234" spans="1:97" x14ac:dyDescent="0.3">
      <c r="A234" s="22"/>
      <c r="B234" s="22" t="s">
        <v>779</v>
      </c>
      <c r="D234" s="22" t="s">
        <v>137</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 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 t="shared" si="20"/>
        <v>geen actie</v>
      </c>
      <c r="CB234" s="150">
        <f>Tabel2[[#This Row],[pnt 2022/2023]]</f>
        <v>0</v>
      </c>
      <c r="CC234" s="150">
        <f t="shared" si="27"/>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21"/>
        <v/>
      </c>
      <c r="CP234" s="22" t="str">
        <f t="shared" si="22"/>
        <v/>
      </c>
      <c r="CQ234" s="22" t="str">
        <f t="shared" si="23"/>
        <v/>
      </c>
      <c r="CR234" s="22" t="str">
        <f t="shared" si="24"/>
        <v/>
      </c>
      <c r="CS234" s="22" t="str">
        <f t="shared" si="25"/>
        <v/>
      </c>
    </row>
    <row r="235" spans="1:97" x14ac:dyDescent="0.3">
      <c r="A235" s="22"/>
      <c r="B235" s="22" t="s">
        <v>779</v>
      </c>
      <c r="D235" s="22" t="s">
        <v>137</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 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20"/>
        <v>geen actie</v>
      </c>
      <c r="CB235" s="150">
        <f>Tabel2[[#This Row],[pnt 2022/2023]]</f>
        <v>0</v>
      </c>
      <c r="CC235" s="150">
        <f t="shared" si="27"/>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21"/>
        <v/>
      </c>
      <c r="CP235" s="22" t="str">
        <f t="shared" si="22"/>
        <v/>
      </c>
      <c r="CQ235" s="22" t="str">
        <f t="shared" si="23"/>
        <v/>
      </c>
      <c r="CR235" s="22" t="str">
        <f t="shared" si="24"/>
        <v/>
      </c>
      <c r="CS235" s="22" t="str">
        <f t="shared" si="25"/>
        <v/>
      </c>
    </row>
    <row r="236" spans="1:97" x14ac:dyDescent="0.3">
      <c r="A236" s="22"/>
      <c r="B236" s="22" t="s">
        <v>779</v>
      </c>
      <c r="D236" s="22" t="s">
        <v>137</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 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 t="shared" si="20"/>
        <v>geen actie</v>
      </c>
      <c r="CB236" s="150">
        <f>Tabel2[[#This Row],[pnt 2022/2023]]</f>
        <v>0</v>
      </c>
      <c r="CC236" s="150">
        <f t="shared" si="27"/>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21"/>
        <v/>
      </c>
      <c r="CP236" s="22" t="str">
        <f t="shared" si="22"/>
        <v/>
      </c>
      <c r="CQ236" s="22" t="str">
        <f t="shared" si="23"/>
        <v/>
      </c>
      <c r="CR236" s="22" t="str">
        <f t="shared" si="24"/>
        <v/>
      </c>
      <c r="CS236" s="22" t="str">
        <f t="shared" si="25"/>
        <v/>
      </c>
    </row>
    <row r="237" spans="1:97" x14ac:dyDescent="0.3">
      <c r="A237" s="22"/>
      <c r="B237" s="22" t="s">
        <v>779</v>
      </c>
      <c r="D237" s="22" t="s">
        <v>137</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 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 t="shared" si="20"/>
        <v>geen actie</v>
      </c>
      <c r="CB237" s="150">
        <f>Tabel2[[#This Row],[pnt 2022/2023]]</f>
        <v>0</v>
      </c>
      <c r="CC237" s="150">
        <f t="shared" si="27"/>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21"/>
        <v/>
      </c>
      <c r="CP237" s="22" t="str">
        <f t="shared" si="22"/>
        <v/>
      </c>
      <c r="CQ237" s="22" t="str">
        <f t="shared" si="23"/>
        <v/>
      </c>
      <c r="CR237" s="22" t="str">
        <f t="shared" si="24"/>
        <v/>
      </c>
      <c r="CS237" s="22" t="str">
        <f t="shared" si="25"/>
        <v/>
      </c>
    </row>
    <row r="238" spans="1:97" x14ac:dyDescent="0.3">
      <c r="A238" s="22"/>
      <c r="B238" s="22" t="s">
        <v>779</v>
      </c>
      <c r="D238" s="22" t="s">
        <v>137</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 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 t="shared" si="20"/>
        <v>geen actie</v>
      </c>
      <c r="CB238" s="150">
        <f>Tabel2[[#This Row],[pnt 2022/2023]]</f>
        <v>0</v>
      </c>
      <c r="CC238" s="150">
        <f t="shared" si="27"/>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21"/>
        <v/>
      </c>
      <c r="CP238" s="22" t="str">
        <f t="shared" si="22"/>
        <v/>
      </c>
      <c r="CQ238" s="22" t="str">
        <f t="shared" si="23"/>
        <v/>
      </c>
      <c r="CR238" s="22" t="str">
        <f t="shared" si="24"/>
        <v/>
      </c>
      <c r="CS238" s="22" t="str">
        <f t="shared" si="25"/>
        <v/>
      </c>
    </row>
    <row r="239" spans="1:97" x14ac:dyDescent="0.3">
      <c r="A239" s="22"/>
      <c r="B239" s="22" t="s">
        <v>779</v>
      </c>
      <c r="D239" s="22" t="s">
        <v>137</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 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 t="shared" si="20"/>
        <v>geen actie</v>
      </c>
      <c r="CB239" s="150">
        <f>Tabel2[[#This Row],[pnt 2022/2023]]</f>
        <v>0</v>
      </c>
      <c r="CC239" s="150">
        <f t="shared" si="27"/>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21"/>
        <v/>
      </c>
      <c r="CP239" s="22" t="str">
        <f t="shared" si="22"/>
        <v/>
      </c>
      <c r="CQ239" s="22" t="str">
        <f t="shared" si="23"/>
        <v/>
      </c>
      <c r="CR239" s="22" t="str">
        <f t="shared" si="24"/>
        <v/>
      </c>
      <c r="CS239" s="22" t="str">
        <f t="shared" si="25"/>
        <v/>
      </c>
    </row>
    <row r="240" spans="1:97" x14ac:dyDescent="0.3">
      <c r="A240" s="22"/>
      <c r="B240" s="22" t="s">
        <v>779</v>
      </c>
      <c r="D240" s="22" t="s">
        <v>137</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 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 t="shared" si="20"/>
        <v>geen actie</v>
      </c>
      <c r="CB240" s="150">
        <f>Tabel2[[#This Row],[pnt 2022/2023]]</f>
        <v>0</v>
      </c>
      <c r="CC240" s="150">
        <f t="shared" si="27"/>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21"/>
        <v/>
      </c>
      <c r="CP240" s="22" t="str">
        <f t="shared" si="22"/>
        <v/>
      </c>
      <c r="CQ240" s="22" t="str">
        <f t="shared" si="23"/>
        <v/>
      </c>
      <c r="CR240" s="22" t="str">
        <f t="shared" si="24"/>
        <v/>
      </c>
      <c r="CS240" s="22" t="str">
        <f t="shared" si="25"/>
        <v/>
      </c>
    </row>
    <row r="241" spans="1:97" x14ac:dyDescent="0.3">
      <c r="A241" s="22"/>
      <c r="B241" s="22" t="s">
        <v>779</v>
      </c>
      <c r="D241" s="22" t="s">
        <v>137</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 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 t="shared" si="20"/>
        <v>geen actie</v>
      </c>
      <c r="CB241" s="150">
        <f>Tabel2[[#This Row],[pnt 2022/2023]]</f>
        <v>0</v>
      </c>
      <c r="CC241" s="150">
        <f t="shared" si="27"/>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21"/>
        <v/>
      </c>
      <c r="CP241" s="22" t="str">
        <f t="shared" si="22"/>
        <v/>
      </c>
      <c r="CQ241" s="22" t="str">
        <f t="shared" si="23"/>
        <v/>
      </c>
      <c r="CR241" s="22" t="str">
        <f t="shared" si="24"/>
        <v/>
      </c>
      <c r="CS241" s="22" t="str">
        <f t="shared" si="25"/>
        <v/>
      </c>
    </row>
    <row r="242" spans="1:97" x14ac:dyDescent="0.3">
      <c r="A242" s="22"/>
      <c r="B242" s="22" t="s">
        <v>779</v>
      </c>
      <c r="D242" s="22" t="s">
        <v>137</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 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 t="shared" si="20"/>
        <v>geen actie</v>
      </c>
      <c r="CB242" s="150">
        <f>Tabel2[[#This Row],[pnt 2022/2023]]</f>
        <v>0</v>
      </c>
      <c r="CC242" s="150">
        <f t="shared" si="27"/>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21"/>
        <v/>
      </c>
      <c r="CP242" s="22" t="str">
        <f t="shared" si="22"/>
        <v/>
      </c>
      <c r="CQ242" s="22" t="str">
        <f t="shared" si="23"/>
        <v/>
      </c>
      <c r="CR242" s="22" t="str">
        <f t="shared" si="24"/>
        <v/>
      </c>
      <c r="CS242" s="22" t="str">
        <f t="shared" si="25"/>
        <v/>
      </c>
    </row>
    <row r="243" spans="1:97" x14ac:dyDescent="0.3">
      <c r="A243" s="22"/>
      <c r="B243" s="22" t="s">
        <v>779</v>
      </c>
      <c r="D243" s="22" t="s">
        <v>137</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 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 t="shared" si="20"/>
        <v>geen actie</v>
      </c>
      <c r="CB243" s="150">
        <f>Tabel2[[#This Row],[pnt 2022/2023]]</f>
        <v>0</v>
      </c>
      <c r="CC243" s="150">
        <f t="shared" si="27"/>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21"/>
        <v/>
      </c>
      <c r="CP243" s="22" t="str">
        <f t="shared" si="22"/>
        <v/>
      </c>
      <c r="CQ243" s="22" t="str">
        <f t="shared" si="23"/>
        <v/>
      </c>
      <c r="CR243" s="22" t="str">
        <f t="shared" si="24"/>
        <v/>
      </c>
      <c r="CS243" s="22" t="str">
        <f t="shared" si="25"/>
        <v/>
      </c>
    </row>
    <row r="244" spans="1:97" x14ac:dyDescent="0.3">
      <c r="A244" s="22"/>
      <c r="B244" s="22" t="s">
        <v>779</v>
      </c>
      <c r="D244" s="22" t="s">
        <v>137</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 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 t="shared" si="20"/>
        <v>geen actie</v>
      </c>
      <c r="CB244" s="150">
        <f>Tabel2[[#This Row],[pnt 2022/2023]]</f>
        <v>0</v>
      </c>
      <c r="CC244" s="150">
        <f t="shared" si="27"/>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21"/>
        <v/>
      </c>
      <c r="CP244" s="22" t="str">
        <f t="shared" si="22"/>
        <v/>
      </c>
      <c r="CQ244" s="22" t="str">
        <f t="shared" si="23"/>
        <v/>
      </c>
      <c r="CR244" s="22" t="str">
        <f t="shared" si="24"/>
        <v/>
      </c>
      <c r="CS244" s="22" t="str">
        <f t="shared" si="25"/>
        <v/>
      </c>
    </row>
    <row r="245" spans="1:97" x14ac:dyDescent="0.3">
      <c r="A245" s="22"/>
      <c r="B245" s="22" t="s">
        <v>779</v>
      </c>
      <c r="D245" s="22" t="s">
        <v>137</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 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 t="shared" si="20"/>
        <v>geen actie</v>
      </c>
      <c r="CB245" s="150">
        <f>Tabel2[[#This Row],[pnt 2022/2023]]</f>
        <v>0</v>
      </c>
      <c r="CC245" s="150">
        <f t="shared" si="27"/>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21"/>
        <v/>
      </c>
      <c r="CP245" s="22" t="str">
        <f t="shared" si="22"/>
        <v/>
      </c>
      <c r="CQ245" s="22" t="str">
        <f t="shared" si="23"/>
        <v/>
      </c>
      <c r="CR245" s="22" t="str">
        <f t="shared" si="24"/>
        <v/>
      </c>
      <c r="CS245" s="22" t="str">
        <f t="shared" si="25"/>
        <v/>
      </c>
    </row>
    <row r="246" spans="1:97" x14ac:dyDescent="0.3">
      <c r="A246" s="22"/>
      <c r="B246" s="22" t="s">
        <v>779</v>
      </c>
      <c r="D246" s="22" t="s">
        <v>137</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 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 t="shared" si="20"/>
        <v>geen actie</v>
      </c>
      <c r="CB246" s="150">
        <f>Tabel2[[#This Row],[pnt 2022/2023]]</f>
        <v>0</v>
      </c>
      <c r="CC246" s="150">
        <f t="shared" si="27"/>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21"/>
        <v/>
      </c>
      <c r="CP246" s="22" t="str">
        <f t="shared" si="22"/>
        <v/>
      </c>
      <c r="CQ246" s="22" t="str">
        <f t="shared" si="23"/>
        <v/>
      </c>
      <c r="CR246" s="22" t="str">
        <f t="shared" si="24"/>
        <v/>
      </c>
      <c r="CS246" s="22" t="str">
        <f t="shared" si="25"/>
        <v/>
      </c>
    </row>
    <row r="247" spans="1:97" x14ac:dyDescent="0.3">
      <c r="A247" s="22"/>
      <c r="B247" s="22" t="s">
        <v>779</v>
      </c>
      <c r="D247" s="22" t="s">
        <v>137</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 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 t="shared" si="20"/>
        <v>geen actie</v>
      </c>
      <c r="CB247" s="150">
        <f>Tabel2[[#This Row],[pnt 2022/2023]]</f>
        <v>0</v>
      </c>
      <c r="CC247" s="150">
        <f t="shared" si="27"/>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21"/>
        <v/>
      </c>
      <c r="CP247" s="22" t="str">
        <f t="shared" si="22"/>
        <v/>
      </c>
      <c r="CQ247" s="22" t="str">
        <f t="shared" si="23"/>
        <v/>
      </c>
      <c r="CR247" s="22" t="str">
        <f t="shared" si="24"/>
        <v/>
      </c>
      <c r="CS247" s="22" t="str">
        <f t="shared" si="25"/>
        <v/>
      </c>
    </row>
    <row r="248" spans="1:97" x14ac:dyDescent="0.3">
      <c r="A248" s="22"/>
      <c r="B248" s="22" t="s">
        <v>779</v>
      </c>
      <c r="D248" s="22" t="s">
        <v>137</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 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20"/>
        <v>geen actie</v>
      </c>
      <c r="CB248" s="150">
        <f>Tabel2[[#This Row],[pnt 2022/2023]]</f>
        <v>0</v>
      </c>
      <c r="CC248" s="150">
        <f t="shared" si="27"/>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21"/>
        <v/>
      </c>
      <c r="CP248" s="22" t="str">
        <f t="shared" si="22"/>
        <v/>
      </c>
      <c r="CQ248" s="22" t="str">
        <f t="shared" si="23"/>
        <v/>
      </c>
      <c r="CR248" s="22" t="str">
        <f t="shared" si="24"/>
        <v/>
      </c>
      <c r="CS248" s="22" t="str">
        <f t="shared" si="25"/>
        <v/>
      </c>
    </row>
    <row r="249" spans="1:97" x14ac:dyDescent="0.3">
      <c r="A249" s="22"/>
      <c r="B249" s="22" t="s">
        <v>779</v>
      </c>
      <c r="D249" s="22" t="s">
        <v>137</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 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20"/>
        <v>geen actie</v>
      </c>
      <c r="CB249" s="150">
        <f>Tabel2[[#This Row],[pnt 2022/2023]]</f>
        <v>0</v>
      </c>
      <c r="CC249" s="150">
        <f t="shared" si="27"/>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21"/>
        <v/>
      </c>
      <c r="CP249" s="22" t="str">
        <f t="shared" si="22"/>
        <v/>
      </c>
      <c r="CQ249" s="22" t="str">
        <f t="shared" si="23"/>
        <v/>
      </c>
      <c r="CR249" s="22" t="str">
        <f t="shared" si="24"/>
        <v/>
      </c>
      <c r="CS249" s="22" t="str">
        <f t="shared" si="25"/>
        <v/>
      </c>
    </row>
    <row r="250" spans="1:97" x14ac:dyDescent="0.3">
      <c r="A250" s="22">
        <f>SUBTOTAL(103,Tabel2[wapen])</f>
        <v>185</v>
      </c>
      <c r="C250" s="22">
        <f>SUBTOTAL(109,Tabel2[aanwezigheid])</f>
        <v>0</v>
      </c>
      <c r="G250" s="25"/>
      <c r="K250" s="24"/>
      <c r="N250" s="31">
        <f>SUBTOTAL(103,Tabel2[LPR 1])</f>
        <v>44</v>
      </c>
      <c r="T250">
        <f>SUBTOTAL(103,Tabel2[LPR 2])</f>
        <v>33</v>
      </c>
      <c r="Z250">
        <f>SUBTOTAL(103,Tabel2[LPR 3])</f>
        <v>0</v>
      </c>
      <c r="AF250">
        <f>SUBTOTAL(103,Tabel2[LPR 4])</f>
        <v>0</v>
      </c>
      <c r="AL250">
        <f>SUBTOTAL(103,Tabel2[LPR 5])</f>
        <v>0</v>
      </c>
      <c r="AR250">
        <f>SUBTOTAL(103,Tabel2[LPR 6])</f>
        <v>0</v>
      </c>
      <c r="AW250" s="150"/>
      <c r="AX250">
        <f>SUBTOTAL(103,Tabel2[LPR 7])</f>
        <v>0</v>
      </c>
      <c r="BD250">
        <f>SUBTOTAL(103,Tabel2[LPR 8])</f>
        <v>0</v>
      </c>
      <c r="BJ250">
        <f>SUBTOTAL(103,Tabel2[LPR 9])</f>
        <v>0</v>
      </c>
      <c r="BP250">
        <f>SUBTOTAL(103,Tabel2[LPR 10])</f>
        <v>0</v>
      </c>
      <c r="BY250" s="22">
        <f>SUBTOTAL(103,Tabel2[Actie])</f>
        <v>245</v>
      </c>
      <c r="CA250" t="s">
        <v>355</v>
      </c>
      <c r="CB250">
        <f>COUNTIF(Tabel7[punten seizoen],"&gt;600")</f>
        <v>0</v>
      </c>
      <c r="CC250" s="163"/>
      <c r="CD250" s="163"/>
      <c r="CE250" s="163"/>
      <c r="CF250" s="163"/>
      <c r="CG250" s="163"/>
      <c r="CH250" s="163"/>
      <c r="CI250" s="163"/>
      <c r="CJ250" s="163"/>
      <c r="CK250" s="163"/>
      <c r="CL250" s="163"/>
      <c r="CM250" s="163"/>
      <c r="CN250" s="22">
        <f>COUNTIF(Tabel7[deelname],"&gt;6")</f>
        <v>0</v>
      </c>
      <c r="CO250" s="22">
        <f>COUNTIF(Tabel7[1000],"x")</f>
        <v>3</v>
      </c>
      <c r="CP250" s="22">
        <f>COUNTIF(Tabel7[1500],"x")</f>
        <v>2</v>
      </c>
      <c r="CQ250" s="22">
        <f>COUNTIF(Tabel7[2000],"x")</f>
        <v>1</v>
      </c>
      <c r="CR250" s="22">
        <f>COUNTIF(Tabel7[2500],"x")</f>
        <v>3</v>
      </c>
      <c r="CS250" s="22">
        <f>COUNTIF(Tabel7[3000],"x")</f>
        <v>2</v>
      </c>
    </row>
    <row r="252" spans="1:97" x14ac:dyDescent="0.3">
      <c r="B252" s="201"/>
      <c r="C252" s="202"/>
      <c r="D252" s="203"/>
    </row>
  </sheetData>
  <phoneticPr fontId="7" type="noConversion"/>
  <conditionalFormatting sqref="K5:K249">
    <cfRule type="cellIs" dxfId="74" priority="23" operator="greaterThan">
      <formula>2000</formula>
    </cfRule>
  </conditionalFormatting>
  <conditionalFormatting sqref="BV5:BV249">
    <cfRule type="expression" dxfId="73" priority="21">
      <formula>NOT(ISERROR(SEARCH("diploma",BV5)))</formula>
    </cfRule>
    <cfRule type="expression" dxfId="72" priority="22">
      <formula>NOT(ISERROR(SEARCH("diploma",BV5)))</formula>
    </cfRule>
  </conditionalFormatting>
  <conditionalFormatting sqref="BY5:BY249">
    <cfRule type="containsText" dxfId="71" priority="19" operator="containsText" text="diploma">
      <formula>NOT(ISERROR(SEARCH("diploma",BY5)))</formula>
    </cfRule>
    <cfRule type="containsText" dxfId="70" priority="20" operator="containsText" text="geen actie">
      <formula>NOT(ISERROR(SEARCH("geen actie",BY5)))</formula>
    </cfRule>
  </conditionalFormatting>
  <conditionalFormatting sqref="I160:I171">
    <cfRule type="cellIs" dxfId="69" priority="17" operator="lessThan">
      <formula>2000</formula>
    </cfRule>
  </conditionalFormatting>
  <conditionalFormatting sqref="I138">
    <cfRule type="cellIs" dxfId="68" priority="16" operator="lessThan">
      <formula>2000</formula>
    </cfRule>
  </conditionalFormatting>
  <conditionalFormatting sqref="I149">
    <cfRule type="cellIs" dxfId="67" priority="15" operator="lessThan">
      <formula>2000</formula>
    </cfRule>
  </conditionalFormatting>
  <conditionalFormatting sqref="I5:I203 I208:I249">
    <cfRule type="cellIs" dxfId="66" priority="14" operator="lessThan">
      <formula>1990</formula>
    </cfRule>
  </conditionalFormatting>
  <conditionalFormatting sqref="I204:I207">
    <cfRule type="cellIs" dxfId="65" priority="12" operator="lessThan">
      <formula>1990</formula>
    </cfRule>
  </conditionalFormatting>
  <conditionalFormatting sqref="F164:F165 F170:F203 F5:F159 F208:F249">
    <cfRule type="cellIs" dxfId="64" priority="8" operator="lessThan">
      <formula>1</formula>
    </cfRule>
  </conditionalFormatting>
  <conditionalFormatting sqref="F204:F207">
    <cfRule type="cellIs" dxfId="63" priority="7" operator="lessThan">
      <formula>1</formula>
    </cfRule>
  </conditionalFormatting>
  <conditionalFormatting sqref="F161">
    <cfRule type="cellIs" dxfId="62" priority="6" operator="lessThan">
      <formula>1</formula>
    </cfRule>
  </conditionalFormatting>
  <conditionalFormatting sqref="D5:D249">
    <cfRule type="containsText" dxfId="61" priority="3" operator="containsText" text="achterstallig">
      <formula>NOT(ISERROR(SEARCH("achterstallig",D5)))</formula>
    </cfRule>
    <cfRule type="containsText" dxfId="60" priority="4" operator="containsText" text="deels">
      <formula>NOT(ISERROR(SEARCH("deels",D5)))</formula>
    </cfRule>
    <cfRule type="containsText" dxfId="59" priority="5" operator="containsText" text="abonnement">
      <formula>NOT(ISERROR(SEARCH("abonnement",D5)))</formula>
    </cfRule>
  </conditionalFormatting>
  <conditionalFormatting sqref="B5:B249">
    <cfRule type="cellIs" dxfId="58" priority="1" operator="equal">
      <formula>"nee"</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426</v>
      </c>
      <c r="E1" s="35"/>
      <c r="X1" s="134" t="s">
        <v>427</v>
      </c>
      <c r="Y1" s="134" t="s">
        <v>428</v>
      </c>
      <c r="Z1" s="134" t="s">
        <v>429</v>
      </c>
      <c r="AA1" s="134" t="s">
        <v>430</v>
      </c>
      <c r="AB1" s="134" t="s">
        <v>431</v>
      </c>
      <c r="AC1" s="134" t="s">
        <v>432</v>
      </c>
      <c r="AE1" s="33" t="s">
        <v>433</v>
      </c>
      <c r="AF1" s="33" t="s">
        <v>434</v>
      </c>
      <c r="AG1" s="33" t="s">
        <v>435</v>
      </c>
      <c r="AH1" s="33" t="s">
        <v>436</v>
      </c>
      <c r="AS1" s="54" t="s">
        <v>437</v>
      </c>
      <c r="AT1" s="54" t="s">
        <v>438</v>
      </c>
      <c r="AU1" s="54" t="s">
        <v>439</v>
      </c>
      <c r="AW1" s="54" t="s">
        <v>440</v>
      </c>
      <c r="AX1" s="54" t="s">
        <v>438</v>
      </c>
      <c r="AY1" s="54" t="s">
        <v>439</v>
      </c>
    </row>
    <row r="2" spans="1:51" ht="20.399999999999999" x14ac:dyDescent="0.35">
      <c r="A2" s="36" t="s">
        <v>441</v>
      </c>
      <c r="B2" s="36"/>
      <c r="T2" s="127"/>
      <c r="X2" s="208" t="s">
        <v>442</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443</v>
      </c>
      <c r="AT2" s="54" t="s">
        <v>444</v>
      </c>
      <c r="AU2" s="54" t="s">
        <v>445</v>
      </c>
      <c r="AW2" s="54">
        <v>4</v>
      </c>
      <c r="AX2" s="54" t="s">
        <v>446</v>
      </c>
      <c r="AY2" s="54" t="s">
        <v>447</v>
      </c>
    </row>
    <row r="3" spans="1:51" ht="18" x14ac:dyDescent="0.35">
      <c r="B3" s="135" t="s">
        <v>448</v>
      </c>
      <c r="X3" s="208" t="s">
        <v>449</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450</v>
      </c>
      <c r="AT3" s="54" t="s">
        <v>451</v>
      </c>
      <c r="AU3" s="54" t="s">
        <v>452</v>
      </c>
      <c r="AW3" s="54">
        <v>5</v>
      </c>
      <c r="AX3" s="54" t="s">
        <v>453</v>
      </c>
      <c r="AY3" s="54" t="s">
        <v>454</v>
      </c>
    </row>
    <row r="4" spans="1:51" ht="20.399999999999999" x14ac:dyDescent="0.35">
      <c r="A4" s="36"/>
      <c r="B4" s="38" t="s">
        <v>455</v>
      </c>
      <c r="X4" s="208" t="s">
        <v>456</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457</v>
      </c>
      <c r="AT4" s="54" t="s">
        <v>458</v>
      </c>
      <c r="AU4" s="54" t="s">
        <v>459</v>
      </c>
      <c r="AW4" s="54">
        <v>6</v>
      </c>
      <c r="AX4" s="54" t="s">
        <v>460</v>
      </c>
      <c r="AY4" s="54" t="s">
        <v>461</v>
      </c>
    </row>
    <row r="5" spans="1:51" ht="20.399999999999999" x14ac:dyDescent="0.35">
      <c r="A5" s="36"/>
      <c r="B5" s="38" t="s">
        <v>462</v>
      </c>
      <c r="X5" s="208" t="s">
        <v>463</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464</v>
      </c>
      <c r="AT5" s="54" t="s">
        <v>465</v>
      </c>
      <c r="AU5" s="54" t="s">
        <v>466</v>
      </c>
      <c r="AW5" s="54">
        <v>7</v>
      </c>
      <c r="AX5" s="54" t="s">
        <v>467</v>
      </c>
      <c r="AY5" s="54" t="s">
        <v>468</v>
      </c>
    </row>
    <row r="6" spans="1:51" ht="20.399999999999999" x14ac:dyDescent="0.35">
      <c r="A6" s="36"/>
      <c r="B6" s="38" t="s">
        <v>469</v>
      </c>
      <c r="X6" s="208" t="s">
        <v>470</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471</v>
      </c>
      <c r="AT6" s="54" t="s">
        <v>472</v>
      </c>
      <c r="AU6" s="54" t="s">
        <v>473</v>
      </c>
      <c r="AW6" s="54">
        <v>8</v>
      </c>
      <c r="AX6" s="54" t="s">
        <v>474</v>
      </c>
      <c r="AY6" s="54" t="s">
        <v>475</v>
      </c>
    </row>
    <row r="7" spans="1:51" ht="20.399999999999999" x14ac:dyDescent="0.35">
      <c r="B7" s="38" t="s">
        <v>476</v>
      </c>
      <c r="X7" s="208" t="s">
        <v>477</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478</v>
      </c>
      <c r="AT7" s="54" t="s">
        <v>479</v>
      </c>
      <c r="AU7" s="54" t="s">
        <v>480</v>
      </c>
      <c r="AW7" s="54">
        <v>9</v>
      </c>
      <c r="AX7" s="54" t="s">
        <v>481</v>
      </c>
      <c r="AY7" s="54" t="s">
        <v>482</v>
      </c>
    </row>
    <row r="8" spans="1:51" ht="20.399999999999999" x14ac:dyDescent="0.35">
      <c r="A8" s="38" t="s">
        <v>483</v>
      </c>
      <c r="B8" s="36"/>
      <c r="X8" s="208" t="s">
        <v>484</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485</v>
      </c>
      <c r="AT8" s="54" t="s">
        <v>486</v>
      </c>
      <c r="AU8" s="54" t="s">
        <v>487</v>
      </c>
      <c r="AW8" s="54">
        <v>10</v>
      </c>
      <c r="AX8" s="54" t="s">
        <v>488</v>
      </c>
      <c r="AY8" s="54" t="s">
        <v>489</v>
      </c>
    </row>
    <row r="9" spans="1:51" ht="20.399999999999999" x14ac:dyDescent="0.35">
      <c r="A9" s="36" t="s">
        <v>490</v>
      </c>
      <c r="B9" s="36"/>
      <c r="X9" s="208" t="s">
        <v>491</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492</v>
      </c>
      <c r="AT9" s="54" t="s">
        <v>493</v>
      </c>
      <c r="AU9" s="54" t="s">
        <v>494</v>
      </c>
      <c r="AW9" s="54">
        <v>11</v>
      </c>
      <c r="AX9" s="54" t="s">
        <v>495</v>
      </c>
      <c r="AY9" s="54" t="s">
        <v>496</v>
      </c>
    </row>
    <row r="10" spans="1:51" ht="20.399999999999999" x14ac:dyDescent="0.35">
      <c r="A10" s="36" t="s">
        <v>497</v>
      </c>
      <c r="B10" s="36"/>
      <c r="X10" s="208" t="s">
        <v>498</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499</v>
      </c>
      <c r="AT10" s="54" t="s">
        <v>500</v>
      </c>
      <c r="AU10" s="54" t="s">
        <v>501</v>
      </c>
      <c r="AW10" s="54">
        <v>12</v>
      </c>
      <c r="AX10" s="54" t="s">
        <v>502</v>
      </c>
      <c r="AY10" s="54" t="s">
        <v>503</v>
      </c>
    </row>
    <row r="11" spans="1:51" ht="20.399999999999999" x14ac:dyDescent="0.35">
      <c r="A11" s="36" t="s">
        <v>504</v>
      </c>
      <c r="B11" s="36"/>
      <c r="X11" s="208" t="s">
        <v>505</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506</v>
      </c>
      <c r="AT11" s="54" t="s">
        <v>507</v>
      </c>
      <c r="AU11" s="54" t="s">
        <v>508</v>
      </c>
    </row>
    <row r="12" spans="1:51" ht="20.399999999999999" x14ac:dyDescent="0.35">
      <c r="A12" s="36"/>
      <c r="B12" s="36"/>
      <c r="X12" s="208" t="s">
        <v>509</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510</v>
      </c>
      <c r="AT12" s="54" t="s">
        <v>511</v>
      </c>
      <c r="AU12" s="54" t="s">
        <v>512</v>
      </c>
    </row>
    <row r="13" spans="1:51" ht="20.399999999999999" x14ac:dyDescent="0.35">
      <c r="A13" s="36" t="s">
        <v>513</v>
      </c>
      <c r="B13" s="36"/>
      <c r="X13" s="208" t="s">
        <v>514</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515</v>
      </c>
      <c r="AT13" s="54" t="s">
        <v>516</v>
      </c>
      <c r="AU13" s="54" t="s">
        <v>517</v>
      </c>
    </row>
    <row r="14" spans="1:51" ht="20.399999999999999" x14ac:dyDescent="0.35">
      <c r="A14" s="36"/>
      <c r="B14" s="36"/>
      <c r="X14" s="208" t="s">
        <v>518</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519</v>
      </c>
      <c r="AT14" s="54" t="s">
        <v>520</v>
      </c>
      <c r="AU14" s="54" t="s">
        <v>521</v>
      </c>
    </row>
    <row r="15" spans="1:51" ht="20.399999999999999" x14ac:dyDescent="0.35">
      <c r="A15" s="36"/>
      <c r="B15" s="36"/>
      <c r="X15" s="208" t="s">
        <v>522</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523</v>
      </c>
      <c r="AT15" s="54" t="s">
        <v>524</v>
      </c>
      <c r="AU15" s="54" t="s">
        <v>525</v>
      </c>
    </row>
    <row r="16" spans="1:51" ht="24.6" customHeight="1" x14ac:dyDescent="0.55000000000000004">
      <c r="A16" s="39"/>
      <c r="B16" s="40"/>
      <c r="X16" s="208" t="s">
        <v>526</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527</v>
      </c>
      <c r="AT16" s="54" t="s">
        <v>528</v>
      </c>
      <c r="AU16" s="54" t="s">
        <v>529</v>
      </c>
    </row>
    <row r="17" spans="1:49" ht="24.6" customHeight="1" x14ac:dyDescent="0.55000000000000004">
      <c r="A17" s="39"/>
      <c r="B17" s="40"/>
      <c r="X17" s="208" t="s">
        <v>530</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437</v>
      </c>
      <c r="AT17" s="54" t="s">
        <v>531</v>
      </c>
      <c r="AU17" s="54" t="s">
        <v>532</v>
      </c>
    </row>
    <row r="18" spans="1:49" ht="24.6" customHeight="1" x14ac:dyDescent="0.55000000000000004">
      <c r="A18" s="39"/>
      <c r="B18" s="40"/>
      <c r="X18" s="208" t="s">
        <v>533</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534</v>
      </c>
      <c r="AT18" s="54" t="s">
        <v>535</v>
      </c>
      <c r="AU18" s="54" t="s">
        <v>536</v>
      </c>
    </row>
    <row r="19" spans="1:49" ht="24.6" customHeight="1" x14ac:dyDescent="0.55000000000000004">
      <c r="A19" s="39"/>
      <c r="B19" s="40"/>
      <c r="X19" s="208" t="s">
        <v>537</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538</v>
      </c>
      <c r="AT19" s="54" t="s">
        <v>539</v>
      </c>
      <c r="AU19" s="54" t="s">
        <v>540</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12" t="str">
        <f>CONCATENATE(AH2,"                ",AG2)</f>
        <v>SABEL                groot wapen</v>
      </c>
      <c r="B22" s="213"/>
      <c r="C22" s="214" t="str">
        <f>CONCATENATE(AE2,"                     ", AF2)</f>
        <v>LOPER                      gemengd elek./mech.</v>
      </c>
      <c r="D22" s="215"/>
      <c r="E22" s="216"/>
      <c r="F22" s="216"/>
      <c r="G22" s="216"/>
      <c r="H22" s="216"/>
      <c r="I22" s="216"/>
      <c r="J22" s="216"/>
      <c r="K22" s="217"/>
      <c r="L22" s="218">
        <f>AC2</f>
        <v>0</v>
      </c>
      <c r="M22" s="219"/>
      <c r="N22" s="42" t="s">
        <v>541</v>
      </c>
      <c r="O22" s="220" t="s">
        <v>542</v>
      </c>
      <c r="P22" s="221"/>
      <c r="Q22" s="220" t="s">
        <v>543</v>
      </c>
      <c r="R22" s="221"/>
      <c r="S22" s="220" t="s">
        <v>544</v>
      </c>
      <c r="T22" s="221"/>
      <c r="U22" s="224" t="s">
        <v>545</v>
      </c>
      <c r="V22" s="225"/>
      <c r="W22" s="128"/>
      <c r="X22" s="209" t="s">
        <v>443</v>
      </c>
      <c r="Y22" s="132"/>
      <c r="Z22" s="228"/>
      <c r="AA22" s="228"/>
      <c r="AB22" s="228"/>
      <c r="AC22" s="228"/>
      <c r="AD22" s="228"/>
      <c r="AE22" s="228"/>
      <c r="AF22" s="228"/>
      <c r="AG22" s="228"/>
      <c r="AH22" s="228"/>
      <c r="AI22" s="228"/>
      <c r="AJ22" s="228"/>
      <c r="AK22" s="228"/>
      <c r="AL22" s="228"/>
      <c r="AM22" s="228"/>
      <c r="AN22" s="228"/>
      <c r="AO22" s="228"/>
      <c r="AP22" s="228"/>
    </row>
    <row r="23" spans="1:49" ht="16.2" thickBot="1" x14ac:dyDescent="0.35">
      <c r="A23" s="43" t="s">
        <v>546</v>
      </c>
      <c r="B23" s="44"/>
      <c r="C23" s="45">
        <v>1</v>
      </c>
      <c r="D23" s="46">
        <v>2</v>
      </c>
      <c r="E23" s="46">
        <v>3</v>
      </c>
      <c r="F23" s="46">
        <v>4</v>
      </c>
      <c r="G23" s="46">
        <v>5</v>
      </c>
      <c r="H23" s="46">
        <v>6</v>
      </c>
      <c r="I23" s="46">
        <v>7</v>
      </c>
      <c r="J23" s="46">
        <v>8</v>
      </c>
      <c r="K23" s="46">
        <v>9</v>
      </c>
      <c r="L23" s="47">
        <v>10</v>
      </c>
      <c r="M23" s="47">
        <v>11</v>
      </c>
      <c r="N23" s="48">
        <v>12</v>
      </c>
      <c r="O23" s="49" t="s">
        <v>547</v>
      </c>
      <c r="P23" s="50" t="s">
        <v>548</v>
      </c>
      <c r="Q23" s="51" t="s">
        <v>547</v>
      </c>
      <c r="R23" s="48" t="s">
        <v>548</v>
      </c>
      <c r="S23" s="51" t="s">
        <v>547</v>
      </c>
      <c r="T23" s="52" t="s">
        <v>548</v>
      </c>
      <c r="U23" s="226"/>
      <c r="V23" s="227"/>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22"/>
      <c r="V24" s="223"/>
      <c r="Z24" s="53"/>
      <c r="AA24" s="54"/>
      <c r="AB24" s="54"/>
      <c r="AC24" s="54"/>
      <c r="AD24" s="54"/>
      <c r="AE24" s="54"/>
      <c r="AF24" s="54"/>
      <c r="AG24" s="54"/>
      <c r="AH24" s="63" t="s">
        <v>549</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22"/>
      <c r="V25" s="223"/>
      <c r="Z25" s="71" t="s">
        <v>550</v>
      </c>
      <c r="AA25" s="72" t="s">
        <v>551</v>
      </c>
      <c r="AB25" s="73" t="s">
        <v>552</v>
      </c>
      <c r="AC25" s="73" t="s">
        <v>553</v>
      </c>
      <c r="AD25" s="73" t="s">
        <v>554</v>
      </c>
      <c r="AE25" s="73" t="s">
        <v>555</v>
      </c>
      <c r="AF25" s="74" t="s">
        <v>556</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22"/>
      <c r="V26" s="223"/>
      <c r="Z26" s="78" t="s">
        <v>557</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22"/>
      <c r="V27" s="223"/>
      <c r="Z27" s="80" t="s">
        <v>558</v>
      </c>
      <c r="AA27" s="81" t="s">
        <v>556</v>
      </c>
      <c r="AB27" s="81" t="s">
        <v>555</v>
      </c>
      <c r="AC27" s="81" t="s">
        <v>559</v>
      </c>
      <c r="AD27" s="81" t="s">
        <v>552</v>
      </c>
      <c r="AE27" s="81" t="s">
        <v>560</v>
      </c>
      <c r="AF27" s="81" t="s">
        <v>553</v>
      </c>
      <c r="AG27" s="81" t="s">
        <v>561</v>
      </c>
      <c r="AH27" s="81" t="s">
        <v>562</v>
      </c>
      <c r="AI27" s="81" t="s">
        <v>563</v>
      </c>
      <c r="AJ27" s="81" t="s">
        <v>564</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22"/>
      <c r="V28" s="223"/>
      <c r="Z28" s="76" t="s">
        <v>565</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22"/>
      <c r="V29" s="223"/>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22"/>
      <c r="V30" s="223"/>
      <c r="Z30" s="85" t="s">
        <v>557</v>
      </c>
      <c r="AA30" s="86" t="s">
        <v>566</v>
      </c>
      <c r="AB30" s="86" t="s">
        <v>561</v>
      </c>
      <c r="AC30" s="86" t="s">
        <v>555</v>
      </c>
      <c r="AD30" s="86" t="s">
        <v>567</v>
      </c>
      <c r="AE30" s="86" t="s">
        <v>568</v>
      </c>
      <c r="AF30" s="86" t="s">
        <v>552</v>
      </c>
      <c r="AG30" s="86" t="s">
        <v>551</v>
      </c>
      <c r="AH30" s="86" t="s">
        <v>569</v>
      </c>
      <c r="AI30" s="86" t="s">
        <v>570</v>
      </c>
      <c r="AJ30" s="86" t="s">
        <v>553</v>
      </c>
      <c r="AK30" s="86" t="s">
        <v>564</v>
      </c>
      <c r="AL30" s="86" t="s">
        <v>571</v>
      </c>
      <c r="AM30" s="86" t="s">
        <v>556</v>
      </c>
      <c r="AN30" s="86" t="s">
        <v>572</v>
      </c>
      <c r="AO30" s="86" t="s">
        <v>573</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22"/>
      <c r="V31" s="223"/>
      <c r="Z31" s="76" t="s">
        <v>574</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22"/>
      <c r="V32" s="223"/>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22"/>
      <c r="V33" s="223"/>
      <c r="Z33" s="71" t="s">
        <v>575</v>
      </c>
      <c r="AA33" s="86" t="s">
        <v>551</v>
      </c>
      <c r="AB33" s="86" t="s">
        <v>561</v>
      </c>
      <c r="AC33" s="86" t="s">
        <v>572</v>
      </c>
      <c r="AD33" s="86" t="s">
        <v>576</v>
      </c>
      <c r="AE33" s="86" t="s">
        <v>560</v>
      </c>
      <c r="AF33" s="86" t="s">
        <v>552</v>
      </c>
      <c r="AG33" s="86" t="s">
        <v>577</v>
      </c>
      <c r="AH33" s="86" t="s">
        <v>559</v>
      </c>
      <c r="AI33" s="86" t="s">
        <v>578</v>
      </c>
      <c r="AJ33" s="86" t="s">
        <v>570</v>
      </c>
      <c r="AK33" s="86" t="s">
        <v>579</v>
      </c>
      <c r="AL33" s="86" t="s">
        <v>580</v>
      </c>
      <c r="AM33" s="86" t="s">
        <v>581</v>
      </c>
      <c r="AN33" s="86" t="s">
        <v>582</v>
      </c>
      <c r="AO33" s="86" t="s">
        <v>563</v>
      </c>
      <c r="AP33" s="86" t="s">
        <v>566</v>
      </c>
      <c r="AQ33" s="86" t="s">
        <v>554</v>
      </c>
      <c r="AR33" s="86" t="s">
        <v>583</v>
      </c>
      <c r="AS33" s="86" t="s">
        <v>584</v>
      </c>
      <c r="AT33" s="86" t="s">
        <v>556</v>
      </c>
      <c r="AU33" s="86" t="s">
        <v>585</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22"/>
      <c r="V34" s="223"/>
      <c r="Z34" s="76" t="s">
        <v>586</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29"/>
      <c r="V35" s="230"/>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587</v>
      </c>
      <c r="AA36" s="86" t="s">
        <v>552</v>
      </c>
      <c r="AB36" s="86" t="s">
        <v>567</v>
      </c>
      <c r="AC36" s="86" t="s">
        <v>588</v>
      </c>
      <c r="AD36" s="86" t="s">
        <v>589</v>
      </c>
      <c r="AE36" s="86" t="s">
        <v>556</v>
      </c>
      <c r="AF36" s="86" t="s">
        <v>555</v>
      </c>
      <c r="AG36" s="86" t="s">
        <v>571</v>
      </c>
      <c r="AH36" s="86" t="s">
        <v>590</v>
      </c>
      <c r="AI36" s="86" t="s">
        <v>562</v>
      </c>
      <c r="AJ36" s="86" t="s">
        <v>591</v>
      </c>
      <c r="AK36" s="86" t="s">
        <v>592</v>
      </c>
      <c r="AL36" s="86" t="s">
        <v>577</v>
      </c>
      <c r="AM36" s="86" t="s">
        <v>564</v>
      </c>
      <c r="AN36" s="86" t="s">
        <v>593</v>
      </c>
      <c r="AO36" s="104"/>
      <c r="AP36" s="105"/>
    </row>
    <row r="37" spans="1:47" ht="15.6" x14ac:dyDescent="0.3">
      <c r="A37" s="76" t="s">
        <v>594</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595</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596</v>
      </c>
      <c r="AB38" s="86" t="s">
        <v>572</v>
      </c>
      <c r="AC38" s="86" t="s">
        <v>597</v>
      </c>
      <c r="AD38" s="86" t="s">
        <v>560</v>
      </c>
      <c r="AE38" s="86" t="s">
        <v>598</v>
      </c>
      <c r="AF38" s="86" t="s">
        <v>599</v>
      </c>
      <c r="AG38" s="86" t="s">
        <v>600</v>
      </c>
      <c r="AH38" s="86" t="s">
        <v>601</v>
      </c>
      <c r="AI38" s="86" t="s">
        <v>563</v>
      </c>
      <c r="AJ38" s="86" t="s">
        <v>602</v>
      </c>
      <c r="AK38" s="86" t="s">
        <v>581</v>
      </c>
      <c r="AL38" s="86" t="s">
        <v>603</v>
      </c>
      <c r="AM38" s="86" t="s">
        <v>582</v>
      </c>
      <c r="AN38" s="86" t="s">
        <v>553</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604</v>
      </c>
      <c r="AA40" s="86" t="s">
        <v>605</v>
      </c>
      <c r="AB40" s="86" t="s">
        <v>597</v>
      </c>
      <c r="AC40" s="86" t="s">
        <v>599</v>
      </c>
      <c r="AD40" s="86" t="s">
        <v>581</v>
      </c>
      <c r="AE40" s="86" t="s">
        <v>567</v>
      </c>
      <c r="AF40" s="86" t="s">
        <v>606</v>
      </c>
      <c r="AG40" s="86" t="s">
        <v>592</v>
      </c>
      <c r="AH40" s="86" t="s">
        <v>588</v>
      </c>
      <c r="AI40" s="86" t="s">
        <v>584</v>
      </c>
      <c r="AJ40" s="86" t="s">
        <v>556</v>
      </c>
      <c r="AK40" s="86" t="s">
        <v>607</v>
      </c>
      <c r="AL40" s="86" t="s">
        <v>608</v>
      </c>
      <c r="AM40" s="86" t="s">
        <v>596</v>
      </c>
      <c r="AN40" s="86" t="s">
        <v>598</v>
      </c>
      <c r="AO40" s="86" t="s">
        <v>609</v>
      </c>
      <c r="AP40" s="86" t="s">
        <v>610</v>
      </c>
      <c r="AQ40" s="86" t="s">
        <v>611</v>
      </c>
      <c r="AR40" s="86" t="s">
        <v>612</v>
      </c>
      <c r="AS40" s="86" t="s">
        <v>580</v>
      </c>
      <c r="AT40" s="86" t="s">
        <v>554</v>
      </c>
      <c r="AU40" s="86" t="s">
        <v>613</v>
      </c>
    </row>
    <row r="41" spans="1:47" ht="15.6" x14ac:dyDescent="0.3">
      <c r="A41" s="137"/>
      <c r="J41" s="82"/>
      <c r="K41" s="82"/>
      <c r="L41" s="82"/>
      <c r="M41" s="82"/>
      <c r="N41" s="82"/>
      <c r="O41" s="82"/>
      <c r="P41" s="104"/>
      <c r="Q41" s="105"/>
      <c r="Z41" s="76" t="s">
        <v>614</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615</v>
      </c>
      <c r="AB42" s="86" t="s">
        <v>576</v>
      </c>
      <c r="AC42" s="86" t="s">
        <v>578</v>
      </c>
      <c r="AD42" s="86" t="s">
        <v>591</v>
      </c>
      <c r="AE42" s="86" t="s">
        <v>616</v>
      </c>
      <c r="AF42" s="86" t="s">
        <v>590</v>
      </c>
      <c r="AG42" s="86" t="s">
        <v>562</v>
      </c>
      <c r="AH42" s="86" t="s">
        <v>569</v>
      </c>
      <c r="AI42" s="86" t="s">
        <v>570</v>
      </c>
      <c r="AJ42" s="86" t="s">
        <v>617</v>
      </c>
      <c r="AK42" s="86" t="s">
        <v>618</v>
      </c>
      <c r="AL42" s="86" t="s">
        <v>573</v>
      </c>
      <c r="AM42" s="86" t="s">
        <v>572</v>
      </c>
      <c r="AN42" s="86" t="s">
        <v>619</v>
      </c>
      <c r="AO42" s="86" t="s">
        <v>620</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1" t="s">
        <v>621</v>
      </c>
      <c r="B45" s="231"/>
      <c r="C45" s="231"/>
      <c r="D45" s="231"/>
      <c r="E45" s="231"/>
      <c r="F45" s="231"/>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12" t="str">
        <f>CONCATENATE(AH3,"                ",AG3)</f>
        <v>SABEL                groot wapen</v>
      </c>
      <c r="B47" s="213"/>
      <c r="C47" s="214" t="str">
        <f>CONCATENATE(AE3,"                     ", AF3)</f>
        <v>LOPER                      gemengd elek./mech.</v>
      </c>
      <c r="D47" s="215"/>
      <c r="E47" s="216"/>
      <c r="F47" s="216"/>
      <c r="G47" s="216"/>
      <c r="H47" s="216"/>
      <c r="I47" s="216"/>
      <c r="J47" s="216"/>
      <c r="K47" s="217"/>
      <c r="L47" s="218">
        <f>AC3</f>
        <v>0</v>
      </c>
      <c r="M47" s="219"/>
      <c r="N47" s="42" t="s">
        <v>541</v>
      </c>
      <c r="O47" s="220" t="s">
        <v>542</v>
      </c>
      <c r="P47" s="221"/>
      <c r="Q47" s="220" t="s">
        <v>543</v>
      </c>
      <c r="R47" s="221"/>
      <c r="S47" s="220" t="s">
        <v>544</v>
      </c>
      <c r="T47" s="221"/>
      <c r="U47" s="232" t="s">
        <v>622</v>
      </c>
      <c r="V47" s="233"/>
      <c r="W47" s="130"/>
      <c r="X47" s="209" t="s">
        <v>450</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546</v>
      </c>
      <c r="B48" s="113"/>
      <c r="C48" s="45">
        <v>1</v>
      </c>
      <c r="D48" s="46">
        <v>2</v>
      </c>
      <c r="E48" s="46">
        <v>3</v>
      </c>
      <c r="F48" s="46">
        <v>4</v>
      </c>
      <c r="G48" s="46">
        <v>5</v>
      </c>
      <c r="H48" s="46">
        <v>6</v>
      </c>
      <c r="I48" s="46">
        <v>7</v>
      </c>
      <c r="J48" s="46">
        <v>8</v>
      </c>
      <c r="K48" s="46">
        <v>9</v>
      </c>
      <c r="L48" s="47">
        <v>10</v>
      </c>
      <c r="M48" s="47">
        <v>11</v>
      </c>
      <c r="N48" s="48">
        <v>12</v>
      </c>
      <c r="O48" s="49" t="s">
        <v>547</v>
      </c>
      <c r="P48" s="50" t="s">
        <v>548</v>
      </c>
      <c r="Q48" s="51" t="s">
        <v>547</v>
      </c>
      <c r="R48" s="48" t="s">
        <v>548</v>
      </c>
      <c r="S48" s="51" t="s">
        <v>547</v>
      </c>
      <c r="T48" s="52" t="s">
        <v>548</v>
      </c>
      <c r="U48" s="234"/>
      <c r="V48" s="235"/>
      <c r="W48" s="131"/>
      <c r="X48" s="131"/>
      <c r="Y48" s="131"/>
      <c r="Z48" s="114" t="s">
        <v>565</v>
      </c>
      <c r="AA48" s="115" t="s">
        <v>551</v>
      </c>
      <c r="AB48" s="115" t="s">
        <v>616</v>
      </c>
      <c r="AC48" s="115" t="s">
        <v>561</v>
      </c>
      <c r="AD48" s="115" t="s">
        <v>623</v>
      </c>
      <c r="AE48" s="115" t="s">
        <v>580</v>
      </c>
      <c r="AF48" s="115" t="s">
        <v>615</v>
      </c>
      <c r="AG48" s="115" t="s">
        <v>573</v>
      </c>
      <c r="AH48" s="115" t="s">
        <v>624</v>
      </c>
      <c r="AI48" s="115" t="s">
        <v>552</v>
      </c>
      <c r="AJ48" s="115" t="s">
        <v>625</v>
      </c>
      <c r="AK48" s="115" t="s">
        <v>559</v>
      </c>
      <c r="AL48" s="115" t="s">
        <v>626</v>
      </c>
      <c r="AM48" s="115" t="s">
        <v>564</v>
      </c>
      <c r="AN48" s="115" t="s">
        <v>627</v>
      </c>
      <c r="AO48" s="115" t="s">
        <v>556</v>
      </c>
      <c r="AP48" s="115" t="s">
        <v>577</v>
      </c>
      <c r="AQ48" s="115" t="s">
        <v>555</v>
      </c>
      <c r="AR48" s="115" t="s">
        <v>628</v>
      </c>
      <c r="AS48" s="115" t="s">
        <v>629</v>
      </c>
      <c r="AT48" s="115" t="s">
        <v>566</v>
      </c>
      <c r="AU48" s="115" t="s">
        <v>619</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22"/>
      <c r="V49" s="223"/>
      <c r="Z49" s="76" t="s">
        <v>630</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22"/>
      <c r="V50" s="223"/>
      <c r="Z50" s="76"/>
      <c r="AA50" s="86" t="s">
        <v>631</v>
      </c>
      <c r="AB50" s="86" t="s">
        <v>632</v>
      </c>
      <c r="AC50" s="86" t="s">
        <v>584</v>
      </c>
      <c r="AD50" s="86" t="s">
        <v>633</v>
      </c>
      <c r="AE50" s="86" t="s">
        <v>593</v>
      </c>
      <c r="AF50" s="86" t="s">
        <v>617</v>
      </c>
      <c r="AG50" s="86" t="s">
        <v>569</v>
      </c>
      <c r="AH50" s="86" t="s">
        <v>588</v>
      </c>
      <c r="AI50" s="86" t="s">
        <v>634</v>
      </c>
      <c r="AJ50" s="86" t="s">
        <v>601</v>
      </c>
      <c r="AK50" s="86" t="s">
        <v>611</v>
      </c>
      <c r="AL50" s="86" t="s">
        <v>635</v>
      </c>
      <c r="AM50" s="86" t="s">
        <v>605</v>
      </c>
      <c r="AN50" s="86" t="s">
        <v>599</v>
      </c>
      <c r="AO50" s="86" t="s">
        <v>636</v>
      </c>
      <c r="AP50" s="86" t="s">
        <v>568</v>
      </c>
      <c r="AQ50" s="86" t="s">
        <v>637</v>
      </c>
      <c r="AR50" s="86" t="s">
        <v>638</v>
      </c>
      <c r="AS50" s="86" t="s">
        <v>576</v>
      </c>
      <c r="AT50" s="86" t="s">
        <v>600</v>
      </c>
      <c r="AU50" s="86" t="s">
        <v>606</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22"/>
      <c r="V51" s="223"/>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22"/>
      <c r="V52" s="223"/>
      <c r="AA52" s="86" t="s">
        <v>572</v>
      </c>
      <c r="AB52" s="86" t="s">
        <v>579</v>
      </c>
      <c r="AC52" s="86" t="s">
        <v>639</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22"/>
      <c r="V53" s="223"/>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22"/>
      <c r="V54" s="223"/>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22"/>
      <c r="V55" s="223"/>
      <c r="Z55" s="118">
        <v>11</v>
      </c>
      <c r="AA55" s="86" t="s">
        <v>640</v>
      </c>
      <c r="AB55" s="86" t="s">
        <v>641</v>
      </c>
      <c r="AC55" s="86" t="s">
        <v>632</v>
      </c>
      <c r="AD55" s="86" t="s">
        <v>611</v>
      </c>
      <c r="AE55" s="86" t="s">
        <v>577</v>
      </c>
      <c r="AF55" s="86" t="s">
        <v>642</v>
      </c>
      <c r="AG55" s="86" t="s">
        <v>606</v>
      </c>
      <c r="AH55" s="86" t="s">
        <v>631</v>
      </c>
      <c r="AI55" s="86" t="s">
        <v>585</v>
      </c>
      <c r="AJ55" s="86" t="s">
        <v>571</v>
      </c>
      <c r="AK55" s="86" t="s">
        <v>639</v>
      </c>
      <c r="AL55" s="86" t="s">
        <v>643</v>
      </c>
      <c r="AM55" s="86" t="s">
        <v>619</v>
      </c>
      <c r="AN55" s="86" t="s">
        <v>572</v>
      </c>
      <c r="AO55" s="86" t="s">
        <v>573</v>
      </c>
      <c r="AP55" s="86" t="s">
        <v>605</v>
      </c>
      <c r="AQ55" s="86" t="s">
        <v>627</v>
      </c>
      <c r="AR55" s="86" t="s">
        <v>644</v>
      </c>
      <c r="AS55" s="86" t="s">
        <v>561</v>
      </c>
      <c r="AT55" s="86" t="s">
        <v>555</v>
      </c>
      <c r="AU55" s="86" t="s">
        <v>618</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22"/>
      <c r="V56" s="223"/>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22"/>
      <c r="V57" s="223"/>
      <c r="AA57" s="86" t="s">
        <v>617</v>
      </c>
      <c r="AB57" s="86" t="s">
        <v>626</v>
      </c>
      <c r="AC57" s="86" t="s">
        <v>645</v>
      </c>
      <c r="AD57" s="86" t="s">
        <v>552</v>
      </c>
      <c r="AE57" s="86" t="s">
        <v>602</v>
      </c>
      <c r="AF57" s="86" t="s">
        <v>615</v>
      </c>
      <c r="AG57" s="86" t="s">
        <v>637</v>
      </c>
      <c r="AH57" s="86" t="s">
        <v>646</v>
      </c>
      <c r="AI57" s="86" t="s">
        <v>647</v>
      </c>
      <c r="AJ57" s="86" t="s">
        <v>566</v>
      </c>
      <c r="AK57" s="86" t="s">
        <v>596</v>
      </c>
      <c r="AL57" s="86" t="s">
        <v>608</v>
      </c>
      <c r="AM57" s="86" t="s">
        <v>607</v>
      </c>
      <c r="AN57" s="86" t="s">
        <v>633</v>
      </c>
      <c r="AO57" s="86" t="s">
        <v>567</v>
      </c>
      <c r="AP57" s="86" t="s">
        <v>568</v>
      </c>
      <c r="AQ57" s="86" t="s">
        <v>583</v>
      </c>
      <c r="AR57" s="86" t="s">
        <v>636</v>
      </c>
      <c r="AS57" s="86" t="s">
        <v>648</v>
      </c>
      <c r="AT57" s="86" t="s">
        <v>551</v>
      </c>
      <c r="AU57" s="86" t="s">
        <v>569</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22"/>
      <c r="V58" s="223"/>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22"/>
      <c r="V59" s="223"/>
      <c r="AA59" s="120" t="s">
        <v>570</v>
      </c>
      <c r="AB59" s="120" t="s">
        <v>649</v>
      </c>
      <c r="AC59" s="120" t="s">
        <v>624</v>
      </c>
      <c r="AD59" s="120" t="s">
        <v>553</v>
      </c>
      <c r="AE59" s="120" t="s">
        <v>564</v>
      </c>
      <c r="AF59" s="120" t="s">
        <v>650</v>
      </c>
      <c r="AG59" s="120" t="s">
        <v>623</v>
      </c>
      <c r="AH59" s="120" t="s">
        <v>628</v>
      </c>
      <c r="AI59" s="120" t="s">
        <v>556</v>
      </c>
      <c r="AJ59" s="120" t="s">
        <v>651</v>
      </c>
      <c r="AK59" s="120" t="s">
        <v>629</v>
      </c>
      <c r="AL59" s="120" t="s">
        <v>616</v>
      </c>
      <c r="AM59" s="120" t="s">
        <v>625</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29"/>
      <c r="V60" s="230"/>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652</v>
      </c>
      <c r="AA61" s="86" t="s">
        <v>653</v>
      </c>
      <c r="AB61" s="86" t="s">
        <v>640</v>
      </c>
      <c r="AC61" s="86" t="s">
        <v>641</v>
      </c>
      <c r="AD61" s="86" t="s">
        <v>632</v>
      </c>
      <c r="AE61" s="86" t="s">
        <v>611</v>
      </c>
      <c r="AF61" s="86" t="s">
        <v>577</v>
      </c>
      <c r="AG61" s="86" t="s">
        <v>642</v>
      </c>
      <c r="AH61" s="86" t="s">
        <v>654</v>
      </c>
      <c r="AI61" s="86" t="s">
        <v>606</v>
      </c>
      <c r="AJ61" s="86" t="s">
        <v>631</v>
      </c>
      <c r="AK61" s="86" t="s">
        <v>585</v>
      </c>
      <c r="AL61" s="86" t="s">
        <v>571</v>
      </c>
      <c r="AM61" s="86" t="s">
        <v>639</v>
      </c>
      <c r="AN61" s="86" t="s">
        <v>643</v>
      </c>
      <c r="AO61" s="86" t="s">
        <v>655</v>
      </c>
      <c r="AP61" s="86" t="s">
        <v>619</v>
      </c>
      <c r="AQ61" s="86" t="s">
        <v>572</v>
      </c>
      <c r="AR61" s="86" t="s">
        <v>573</v>
      </c>
      <c r="AS61" s="86" t="s">
        <v>605</v>
      </c>
      <c r="AT61" s="86" t="s">
        <v>627</v>
      </c>
      <c r="AU61" s="86" t="s">
        <v>644</v>
      </c>
    </row>
    <row r="62" spans="1:47" ht="15.6" x14ac:dyDescent="0.3">
      <c r="A62" s="76" t="s">
        <v>594</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656</v>
      </c>
    </row>
    <row r="63" spans="1:47" ht="15" x14ac:dyDescent="0.25">
      <c r="A63" s="111"/>
      <c r="B63" s="75"/>
      <c r="C63" s="75"/>
      <c r="D63" s="75"/>
      <c r="E63" s="75"/>
      <c r="F63" s="75"/>
      <c r="G63" s="75"/>
      <c r="H63" s="75"/>
      <c r="I63" s="75"/>
      <c r="J63" s="75"/>
      <c r="K63" s="75"/>
      <c r="L63" s="75"/>
      <c r="M63" s="75"/>
      <c r="N63" s="75"/>
      <c r="O63" s="76"/>
      <c r="P63" s="77"/>
      <c r="Q63" s="65"/>
      <c r="AA63" s="86" t="s">
        <v>657</v>
      </c>
      <c r="AB63" s="86" t="s">
        <v>561</v>
      </c>
      <c r="AC63" s="86" t="s">
        <v>555</v>
      </c>
      <c r="AD63" s="86" t="s">
        <v>618</v>
      </c>
      <c r="AE63" s="86" t="s">
        <v>617</v>
      </c>
      <c r="AF63" s="86" t="s">
        <v>626</v>
      </c>
      <c r="AG63" s="86" t="s">
        <v>645</v>
      </c>
      <c r="AH63" s="86" t="s">
        <v>658</v>
      </c>
      <c r="AI63" s="86" t="s">
        <v>552</v>
      </c>
      <c r="AJ63" s="86" t="s">
        <v>602</v>
      </c>
      <c r="AK63" s="86" t="s">
        <v>615</v>
      </c>
      <c r="AL63" s="86" t="s">
        <v>637</v>
      </c>
      <c r="AM63" s="86" t="s">
        <v>646</v>
      </c>
      <c r="AN63" s="86" t="s">
        <v>647</v>
      </c>
      <c r="AO63" s="86" t="s">
        <v>659</v>
      </c>
      <c r="AP63" s="86" t="s">
        <v>566</v>
      </c>
      <c r="AQ63" s="86" t="s">
        <v>596</v>
      </c>
      <c r="AR63" s="86" t="s">
        <v>608</v>
      </c>
      <c r="AS63" s="86" t="s">
        <v>607</v>
      </c>
      <c r="AT63" s="86" t="s">
        <v>633</v>
      </c>
      <c r="AU63" s="86" t="s">
        <v>660</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567</v>
      </c>
      <c r="AB65" s="86" t="s">
        <v>568</v>
      </c>
      <c r="AC65" s="86" t="s">
        <v>583</v>
      </c>
      <c r="AD65" s="86" t="s">
        <v>636</v>
      </c>
      <c r="AE65" s="86" t="s">
        <v>661</v>
      </c>
      <c r="AF65" s="86" t="s">
        <v>648</v>
      </c>
      <c r="AG65" s="86" t="s">
        <v>551</v>
      </c>
      <c r="AH65" s="86" t="s">
        <v>569</v>
      </c>
      <c r="AI65" s="86" t="s">
        <v>570</v>
      </c>
      <c r="AJ65" s="86" t="s">
        <v>662</v>
      </c>
      <c r="AK65" s="125" t="s">
        <v>649</v>
      </c>
      <c r="AL65" s="125" t="s">
        <v>624</v>
      </c>
      <c r="AM65" s="125" t="s">
        <v>553</v>
      </c>
      <c r="AN65" s="125" t="s">
        <v>564</v>
      </c>
      <c r="AO65" s="125" t="s">
        <v>663</v>
      </c>
      <c r="AP65" s="125" t="s">
        <v>650</v>
      </c>
      <c r="AQ65" s="125" t="s">
        <v>623</v>
      </c>
      <c r="AR65" s="125" t="s">
        <v>628</v>
      </c>
      <c r="AS65" s="125" t="s">
        <v>556</v>
      </c>
      <c r="AT65" s="125" t="s">
        <v>664</v>
      </c>
      <c r="AU65" s="125" t="s">
        <v>651</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629</v>
      </c>
      <c r="AB67" s="125" t="s">
        <v>616</v>
      </c>
      <c r="AC67" s="125" t="s">
        <v>625</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1" t="s">
        <v>621</v>
      </c>
      <c r="B69" s="231"/>
      <c r="C69" s="231"/>
      <c r="D69" s="231"/>
      <c r="E69" s="231"/>
      <c r="F69" s="231"/>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12" t="str">
        <f>CONCATENATE(AH4,"                ",AG4)</f>
        <v>SABEL                groot wapen</v>
      </c>
      <c r="B71" s="213"/>
      <c r="C71" s="214" t="str">
        <f>CONCATENATE(AE4,"                     ", AF4)</f>
        <v>LOPER                      gemengd elek./mech.</v>
      </c>
      <c r="D71" s="215"/>
      <c r="E71" s="216"/>
      <c r="F71" s="216"/>
      <c r="G71" s="216"/>
      <c r="H71" s="216"/>
      <c r="I71" s="216"/>
      <c r="J71" s="216"/>
      <c r="K71" s="217"/>
      <c r="L71" s="218">
        <f>AC4</f>
        <v>0</v>
      </c>
      <c r="M71" s="219"/>
      <c r="N71" s="42" t="s">
        <v>541</v>
      </c>
      <c r="O71" s="220" t="s">
        <v>542</v>
      </c>
      <c r="P71" s="221"/>
      <c r="Q71" s="220" t="s">
        <v>543</v>
      </c>
      <c r="R71" s="221"/>
      <c r="S71" s="220" t="s">
        <v>544</v>
      </c>
      <c r="T71" s="221"/>
      <c r="U71" s="232" t="s">
        <v>622</v>
      </c>
      <c r="V71" s="233"/>
      <c r="W71" s="130"/>
      <c r="X71" s="209" t="s">
        <v>457</v>
      </c>
      <c r="Y71" s="132"/>
      <c r="AO71" s="94"/>
      <c r="AP71" s="54"/>
    </row>
    <row r="72" spans="1:47" ht="16.2" thickBot="1" x14ac:dyDescent="0.35">
      <c r="A72" s="49" t="s">
        <v>546</v>
      </c>
      <c r="B72" s="113"/>
      <c r="C72" s="45">
        <v>1</v>
      </c>
      <c r="D72" s="46">
        <v>2</v>
      </c>
      <c r="E72" s="46">
        <v>3</v>
      </c>
      <c r="F72" s="46">
        <v>4</v>
      </c>
      <c r="G72" s="46">
        <v>5</v>
      </c>
      <c r="H72" s="46">
        <v>6</v>
      </c>
      <c r="I72" s="46">
        <v>7</v>
      </c>
      <c r="J72" s="46">
        <v>8</v>
      </c>
      <c r="K72" s="46">
        <v>9</v>
      </c>
      <c r="L72" s="47">
        <v>10</v>
      </c>
      <c r="M72" s="47">
        <v>11</v>
      </c>
      <c r="N72" s="48">
        <v>12</v>
      </c>
      <c r="O72" s="49" t="s">
        <v>547</v>
      </c>
      <c r="P72" s="50" t="s">
        <v>548</v>
      </c>
      <c r="Q72" s="51" t="s">
        <v>547</v>
      </c>
      <c r="R72" s="48" t="s">
        <v>548</v>
      </c>
      <c r="S72" s="51" t="s">
        <v>547</v>
      </c>
      <c r="T72" s="52" t="s">
        <v>548</v>
      </c>
      <c r="U72" s="234"/>
      <c r="V72" s="235"/>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22"/>
      <c r="V73" s="223"/>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22"/>
      <c r="V74" s="223"/>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22"/>
      <c r="V75" s="223"/>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22"/>
      <c r="V76" s="223"/>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22"/>
      <c r="V77" s="223"/>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22"/>
      <c r="V78" s="223"/>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22"/>
      <c r="V79" s="223"/>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22"/>
      <c r="V80" s="223"/>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22"/>
      <c r="V81" s="223"/>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22"/>
      <c r="V82" s="223"/>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22"/>
      <c r="V83" s="223"/>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29"/>
      <c r="V84" s="230"/>
    </row>
    <row r="85" spans="1:29" ht="15.75" customHeight="1" x14ac:dyDescent="0.25"/>
    <row r="86" spans="1:29" ht="15.75" customHeight="1" x14ac:dyDescent="0.3">
      <c r="A86" s="76" t="s">
        <v>594</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1" t="s">
        <v>621</v>
      </c>
      <c r="B94" s="231"/>
      <c r="C94" s="231"/>
      <c r="D94" s="231"/>
      <c r="E94" s="231"/>
      <c r="F94" s="231"/>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12" t="str">
        <f>CONCATENATE(AH5,"                ",AG5)</f>
        <v>SABEL                groot wapen</v>
      </c>
      <c r="B96" s="213"/>
      <c r="C96" s="214" t="str">
        <f>CONCATENATE(AE5,"                     ", AF5)</f>
        <v>LOPER                      gemengd elek./mech.</v>
      </c>
      <c r="D96" s="215"/>
      <c r="E96" s="216"/>
      <c r="F96" s="216"/>
      <c r="G96" s="216"/>
      <c r="H96" s="216"/>
      <c r="I96" s="216"/>
      <c r="J96" s="216"/>
      <c r="K96" s="217"/>
      <c r="L96" s="218">
        <f>AC5</f>
        <v>0</v>
      </c>
      <c r="M96" s="219"/>
      <c r="N96" s="42" t="s">
        <v>541</v>
      </c>
      <c r="O96" s="220" t="s">
        <v>542</v>
      </c>
      <c r="P96" s="221"/>
      <c r="Q96" s="220" t="s">
        <v>543</v>
      </c>
      <c r="R96" s="221"/>
      <c r="S96" s="220" t="s">
        <v>544</v>
      </c>
      <c r="T96" s="221"/>
      <c r="U96" s="232" t="s">
        <v>622</v>
      </c>
      <c r="V96" s="233"/>
      <c r="W96" s="132"/>
      <c r="X96" s="209" t="s">
        <v>464</v>
      </c>
      <c r="Y96" s="132"/>
    </row>
    <row r="97" spans="1:47" ht="16.2" thickBot="1" x14ac:dyDescent="0.35">
      <c r="A97" s="49" t="s">
        <v>546</v>
      </c>
      <c r="B97" s="113"/>
      <c r="C97" s="45">
        <v>1</v>
      </c>
      <c r="D97" s="46">
        <v>2</v>
      </c>
      <c r="E97" s="46">
        <v>3</v>
      </c>
      <c r="F97" s="46">
        <v>4</v>
      </c>
      <c r="G97" s="46">
        <v>5</v>
      </c>
      <c r="H97" s="46">
        <v>6</v>
      </c>
      <c r="I97" s="46">
        <v>7</v>
      </c>
      <c r="J97" s="46">
        <v>8</v>
      </c>
      <c r="K97" s="46">
        <v>9</v>
      </c>
      <c r="L97" s="47">
        <v>10</v>
      </c>
      <c r="M97" s="47">
        <v>11</v>
      </c>
      <c r="N97" s="48">
        <v>12</v>
      </c>
      <c r="O97" s="49" t="s">
        <v>547</v>
      </c>
      <c r="P97" s="50" t="s">
        <v>548</v>
      </c>
      <c r="Q97" s="51" t="s">
        <v>547</v>
      </c>
      <c r="R97" s="48" t="s">
        <v>548</v>
      </c>
      <c r="S97" s="51" t="s">
        <v>547</v>
      </c>
      <c r="T97" s="52" t="s">
        <v>548</v>
      </c>
      <c r="U97" s="234"/>
      <c r="V97" s="235"/>
      <c r="W97" s="131"/>
      <c r="X97" s="131"/>
      <c r="Y97" s="131"/>
      <c r="Z97" s="236"/>
      <c r="AA97" s="236"/>
      <c r="AB97" s="236"/>
      <c r="AC97" s="236"/>
      <c r="AD97" s="236"/>
      <c r="AE97" s="236"/>
      <c r="AF97" s="236"/>
      <c r="AG97" s="236"/>
      <c r="AH97" s="236"/>
      <c r="AI97" s="236"/>
      <c r="AJ97" s="236"/>
      <c r="AK97" s="236"/>
      <c r="AL97" s="236"/>
      <c r="AM97" s="236"/>
      <c r="AN97" s="236"/>
      <c r="AO97" s="236"/>
      <c r="AP97" s="236"/>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22"/>
      <c r="V98" s="223"/>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22"/>
      <c r="V99" s="223"/>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22"/>
      <c r="V100" s="223"/>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22"/>
      <c r="V101" s="223"/>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22"/>
      <c r="V102" s="223"/>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22"/>
      <c r="V103" s="223"/>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22"/>
      <c r="V104" s="223"/>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22"/>
      <c r="V105" s="223"/>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22"/>
      <c r="V106" s="223"/>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22"/>
      <c r="V107" s="223"/>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22"/>
      <c r="V108" s="223"/>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29"/>
      <c r="V109" s="230"/>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10" t="s">
        <v>594</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665</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12" t="str">
        <f>CONCATENATE(AH6,"                ",AG6)</f>
        <v>SABEL                groot wapen</v>
      </c>
      <c r="B121" s="213"/>
      <c r="C121" s="214" t="str">
        <f>CONCATENATE(AE6,"                     ", AF6)</f>
        <v>LOPER                      gemengd elek./mech.</v>
      </c>
      <c r="D121" s="215"/>
      <c r="E121" s="216"/>
      <c r="F121" s="216"/>
      <c r="G121" s="216"/>
      <c r="H121" s="216"/>
      <c r="I121" s="216"/>
      <c r="J121" s="216"/>
      <c r="K121" s="217"/>
      <c r="L121" s="218">
        <f>AC6</f>
        <v>0</v>
      </c>
      <c r="M121" s="219"/>
      <c r="N121" s="42" t="s">
        <v>541</v>
      </c>
      <c r="O121" s="220" t="s">
        <v>542</v>
      </c>
      <c r="P121" s="221"/>
      <c r="Q121" s="220" t="s">
        <v>543</v>
      </c>
      <c r="R121" s="221"/>
      <c r="S121" s="220" t="s">
        <v>544</v>
      </c>
      <c r="T121" s="221"/>
      <c r="U121" s="232" t="s">
        <v>622</v>
      </c>
      <c r="V121" s="233"/>
      <c r="W121" s="130"/>
      <c r="X121" s="209" t="s">
        <v>471</v>
      </c>
      <c r="Y121" s="132"/>
    </row>
    <row r="122" spans="1:47" ht="16.2" thickBot="1" x14ac:dyDescent="0.35">
      <c r="A122" s="49" t="s">
        <v>546</v>
      </c>
      <c r="B122" s="113"/>
      <c r="C122" s="45">
        <v>1</v>
      </c>
      <c r="D122" s="46">
        <v>2</v>
      </c>
      <c r="E122" s="46">
        <v>3</v>
      </c>
      <c r="F122" s="46">
        <v>4</v>
      </c>
      <c r="G122" s="46">
        <v>5</v>
      </c>
      <c r="H122" s="46">
        <v>6</v>
      </c>
      <c r="I122" s="46">
        <v>7</v>
      </c>
      <c r="J122" s="46">
        <v>8</v>
      </c>
      <c r="K122" s="46">
        <v>9</v>
      </c>
      <c r="L122" s="47">
        <v>10</v>
      </c>
      <c r="M122" s="47">
        <v>11</v>
      </c>
      <c r="N122" s="48">
        <v>12</v>
      </c>
      <c r="O122" s="49" t="s">
        <v>547</v>
      </c>
      <c r="P122" s="50" t="s">
        <v>548</v>
      </c>
      <c r="Q122" s="51" t="s">
        <v>547</v>
      </c>
      <c r="R122" s="48" t="s">
        <v>548</v>
      </c>
      <c r="S122" s="51" t="s">
        <v>547</v>
      </c>
      <c r="T122" s="52" t="s">
        <v>548</v>
      </c>
      <c r="U122" s="234"/>
      <c r="V122" s="235"/>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22"/>
      <c r="V123" s="223"/>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22"/>
      <c r="V124" s="223"/>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22"/>
      <c r="V125" s="223"/>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22"/>
      <c r="V126" s="223"/>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22"/>
      <c r="V127" s="223"/>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22"/>
      <c r="V128" s="223"/>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22"/>
      <c r="V129" s="223"/>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22"/>
      <c r="V130" s="223"/>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22"/>
      <c r="V131" s="223"/>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22"/>
      <c r="V132" s="223"/>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22"/>
      <c r="V133" s="223"/>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29"/>
      <c r="V134" s="230"/>
    </row>
    <row r="135" spans="1:47" ht="16.5" customHeight="1" x14ac:dyDescent="0.25"/>
    <row r="136" spans="1:47" ht="16.5" customHeight="1" x14ac:dyDescent="0.25">
      <c r="A136" s="76" t="s">
        <v>594</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665</v>
      </c>
    </row>
    <row r="145" spans="1:42" ht="13.8" thickBot="1" x14ac:dyDescent="0.3"/>
    <row r="146" spans="1:42" ht="100.2" customHeight="1" thickBot="1" x14ac:dyDescent="0.55000000000000004">
      <c r="A146" s="212" t="str">
        <f>CONCATENATE(AH7,"                ",AG7)</f>
        <v>SABEL                groot wapen</v>
      </c>
      <c r="B146" s="213"/>
      <c r="C146" s="214" t="str">
        <f>CONCATENATE(AE7,"                     ", AF7)</f>
        <v>LOPER                      gemengd elek./mech.</v>
      </c>
      <c r="D146" s="215"/>
      <c r="E146" s="216"/>
      <c r="F146" s="216"/>
      <c r="G146" s="216"/>
      <c r="H146" s="216"/>
      <c r="I146" s="216"/>
      <c r="J146" s="216"/>
      <c r="K146" s="217"/>
      <c r="L146" s="218">
        <f>AC7</f>
        <v>0</v>
      </c>
      <c r="M146" s="219"/>
      <c r="N146" s="42" t="s">
        <v>541</v>
      </c>
      <c r="O146" s="220" t="s">
        <v>542</v>
      </c>
      <c r="P146" s="221"/>
      <c r="Q146" s="220" t="s">
        <v>543</v>
      </c>
      <c r="R146" s="221"/>
      <c r="S146" s="220" t="s">
        <v>544</v>
      </c>
      <c r="T146" s="221"/>
      <c r="U146" s="232" t="s">
        <v>622</v>
      </c>
      <c r="V146" s="233"/>
      <c r="W146" s="130"/>
      <c r="X146" s="209" t="s">
        <v>478</v>
      </c>
      <c r="Y146" s="132"/>
    </row>
    <row r="147" spans="1:42" ht="16.2" thickBot="1" x14ac:dyDescent="0.35">
      <c r="A147" s="49" t="s">
        <v>546</v>
      </c>
      <c r="B147" s="113"/>
      <c r="C147" s="45">
        <v>1</v>
      </c>
      <c r="D147" s="46">
        <v>2</v>
      </c>
      <c r="E147" s="46">
        <v>3</v>
      </c>
      <c r="F147" s="46">
        <v>4</v>
      </c>
      <c r="G147" s="46">
        <v>5</v>
      </c>
      <c r="H147" s="46">
        <v>6</v>
      </c>
      <c r="I147" s="46">
        <v>7</v>
      </c>
      <c r="J147" s="46">
        <v>8</v>
      </c>
      <c r="K147" s="46">
        <v>9</v>
      </c>
      <c r="L147" s="47">
        <v>10</v>
      </c>
      <c r="M147" s="47">
        <v>11</v>
      </c>
      <c r="N147" s="48">
        <v>12</v>
      </c>
      <c r="O147" s="49" t="s">
        <v>547</v>
      </c>
      <c r="P147" s="50" t="s">
        <v>548</v>
      </c>
      <c r="Q147" s="51" t="s">
        <v>547</v>
      </c>
      <c r="R147" s="48" t="s">
        <v>548</v>
      </c>
      <c r="S147" s="51" t="s">
        <v>547</v>
      </c>
      <c r="T147" s="52" t="s">
        <v>548</v>
      </c>
      <c r="U147" s="234"/>
      <c r="V147" s="235"/>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22"/>
      <c r="V148" s="223"/>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22"/>
      <c r="V149" s="223"/>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22"/>
      <c r="V150" s="223"/>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22"/>
      <c r="V151" s="223"/>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22"/>
      <c r="V152" s="223"/>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22"/>
      <c r="V153" s="223"/>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22"/>
      <c r="V154" s="223"/>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22"/>
      <c r="V155" s="223"/>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22"/>
      <c r="V156" s="223"/>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22"/>
      <c r="V157" s="223"/>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22"/>
      <c r="V158" s="223"/>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29"/>
      <c r="V159" s="230"/>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594</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665</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12" t="str">
        <f>CONCATENATE(AH8,"                ",AG8)</f>
        <v>SABEL                groot wapen</v>
      </c>
      <c r="B171" s="213"/>
      <c r="C171" s="214" t="str">
        <f>CONCATENATE(AE8,"                     ", AF8)</f>
        <v>LOPER                      gemengd elek./mech.</v>
      </c>
      <c r="D171" s="215"/>
      <c r="E171" s="216"/>
      <c r="F171" s="216"/>
      <c r="G171" s="216"/>
      <c r="H171" s="216"/>
      <c r="I171" s="216"/>
      <c r="J171" s="216"/>
      <c r="K171" s="217"/>
      <c r="L171" s="218">
        <f>AC8</f>
        <v>0</v>
      </c>
      <c r="M171" s="219"/>
      <c r="N171" s="42" t="s">
        <v>541</v>
      </c>
      <c r="O171" s="220" t="s">
        <v>542</v>
      </c>
      <c r="P171" s="221"/>
      <c r="Q171" s="220" t="s">
        <v>543</v>
      </c>
      <c r="R171" s="221"/>
      <c r="S171" s="220" t="s">
        <v>544</v>
      </c>
      <c r="T171" s="221"/>
      <c r="U171" s="232" t="s">
        <v>622</v>
      </c>
      <c r="V171" s="233"/>
      <c r="W171" s="130"/>
      <c r="X171" s="209" t="s">
        <v>485</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546</v>
      </c>
      <c r="B172" s="113"/>
      <c r="C172" s="45">
        <v>1</v>
      </c>
      <c r="D172" s="46">
        <v>2</v>
      </c>
      <c r="E172" s="46">
        <v>3</v>
      </c>
      <c r="F172" s="46">
        <v>4</v>
      </c>
      <c r="G172" s="46">
        <v>5</v>
      </c>
      <c r="H172" s="46">
        <v>6</v>
      </c>
      <c r="I172" s="46">
        <v>7</v>
      </c>
      <c r="J172" s="46">
        <v>8</v>
      </c>
      <c r="K172" s="46">
        <v>9</v>
      </c>
      <c r="L172" s="47">
        <v>10</v>
      </c>
      <c r="M172" s="47">
        <v>11</v>
      </c>
      <c r="N172" s="48">
        <v>12</v>
      </c>
      <c r="O172" s="49" t="s">
        <v>547</v>
      </c>
      <c r="P172" s="50" t="s">
        <v>548</v>
      </c>
      <c r="Q172" s="51" t="s">
        <v>547</v>
      </c>
      <c r="R172" s="48" t="s">
        <v>548</v>
      </c>
      <c r="S172" s="51" t="s">
        <v>547</v>
      </c>
      <c r="T172" s="52" t="s">
        <v>548</v>
      </c>
      <c r="U172" s="234"/>
      <c r="V172" s="235"/>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22"/>
      <c r="V173" s="223"/>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22"/>
      <c r="V174" s="223"/>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22"/>
      <c r="V175" s="223"/>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22"/>
      <c r="V176" s="223"/>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22"/>
      <c r="V177" s="223"/>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22"/>
      <c r="V178" s="223"/>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22"/>
      <c r="V179" s="223"/>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22"/>
      <c r="V180" s="223"/>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22"/>
      <c r="V181" s="223"/>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22"/>
      <c r="V182" s="223"/>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22"/>
      <c r="V183" s="223"/>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29"/>
      <c r="V184" s="230"/>
    </row>
    <row r="186" spans="1:25" x14ac:dyDescent="0.25">
      <c r="A186" s="76" t="s">
        <v>594</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665</v>
      </c>
    </row>
    <row r="195" spans="1:25" ht="13.8" thickBot="1" x14ac:dyDescent="0.3"/>
    <row r="196" spans="1:25" ht="100.2" customHeight="1" thickBot="1" x14ac:dyDescent="0.55000000000000004">
      <c r="A196" s="212" t="str">
        <f>CONCATENATE(AH9,"                ",AG9)</f>
        <v>SABEL                groot wapen</v>
      </c>
      <c r="B196" s="213"/>
      <c r="C196" s="214" t="str">
        <f>CONCATENATE(AE9,"                     ", AF9)</f>
        <v>LOPER                      gemengd elek./mech.</v>
      </c>
      <c r="D196" s="215"/>
      <c r="E196" s="216"/>
      <c r="F196" s="216"/>
      <c r="G196" s="216"/>
      <c r="H196" s="216"/>
      <c r="I196" s="216"/>
      <c r="J196" s="216"/>
      <c r="K196" s="217"/>
      <c r="L196" s="218">
        <f>AC9</f>
        <v>0</v>
      </c>
      <c r="M196" s="219"/>
      <c r="N196" s="42" t="s">
        <v>541</v>
      </c>
      <c r="O196" s="220" t="s">
        <v>542</v>
      </c>
      <c r="P196" s="221"/>
      <c r="Q196" s="220" t="s">
        <v>543</v>
      </c>
      <c r="R196" s="221"/>
      <c r="S196" s="220" t="s">
        <v>544</v>
      </c>
      <c r="T196" s="221"/>
      <c r="U196" s="232" t="s">
        <v>622</v>
      </c>
      <c r="V196" s="233"/>
      <c r="W196" s="130"/>
      <c r="X196" s="209" t="s">
        <v>492</v>
      </c>
      <c r="Y196" s="132"/>
    </row>
    <row r="197" spans="1:25" ht="16.2" thickBot="1" x14ac:dyDescent="0.35">
      <c r="A197" s="49" t="s">
        <v>546</v>
      </c>
      <c r="B197" s="113"/>
      <c r="C197" s="45">
        <v>1</v>
      </c>
      <c r="D197" s="46">
        <v>2</v>
      </c>
      <c r="E197" s="46">
        <v>3</v>
      </c>
      <c r="F197" s="46">
        <v>4</v>
      </c>
      <c r="G197" s="46">
        <v>5</v>
      </c>
      <c r="H197" s="46">
        <v>6</v>
      </c>
      <c r="I197" s="46">
        <v>7</v>
      </c>
      <c r="J197" s="46">
        <v>8</v>
      </c>
      <c r="K197" s="46">
        <v>9</v>
      </c>
      <c r="L197" s="47">
        <v>10</v>
      </c>
      <c r="M197" s="47">
        <v>11</v>
      </c>
      <c r="N197" s="48">
        <v>12</v>
      </c>
      <c r="O197" s="49" t="s">
        <v>547</v>
      </c>
      <c r="P197" s="50" t="s">
        <v>548</v>
      </c>
      <c r="Q197" s="51" t="s">
        <v>547</v>
      </c>
      <c r="R197" s="48" t="s">
        <v>548</v>
      </c>
      <c r="S197" s="51" t="s">
        <v>547</v>
      </c>
      <c r="T197" s="52" t="s">
        <v>548</v>
      </c>
      <c r="U197" s="234"/>
      <c r="V197" s="235"/>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22"/>
      <c r="V198" s="223"/>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22"/>
      <c r="V199" s="223"/>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22"/>
      <c r="V200" s="223"/>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22"/>
      <c r="V201" s="223"/>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22"/>
      <c r="V202" s="223"/>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22"/>
      <c r="V203" s="223"/>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22"/>
      <c r="V204" s="223"/>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22"/>
      <c r="V205" s="223"/>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22"/>
      <c r="V206" s="223"/>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22"/>
      <c r="V207" s="223"/>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22"/>
      <c r="V208" s="223"/>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29"/>
      <c r="V209" s="230"/>
    </row>
    <row r="211" spans="1:25" x14ac:dyDescent="0.25">
      <c r="A211" s="76" t="s">
        <v>594</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665</v>
      </c>
    </row>
    <row r="220" spans="1:25" ht="13.8" thickBot="1" x14ac:dyDescent="0.3"/>
    <row r="221" spans="1:25" ht="100.2" customHeight="1" thickBot="1" x14ac:dyDescent="0.55000000000000004">
      <c r="A221" s="212" t="str">
        <f>CONCATENATE(AH10,"                ",AG10)</f>
        <v>SABEL                groot wapen</v>
      </c>
      <c r="B221" s="213"/>
      <c r="C221" s="214" t="str">
        <f>CONCATENATE(AE10,"                     ", AF10)</f>
        <v>LOPER                      gemengd elek./mech.</v>
      </c>
      <c r="D221" s="215"/>
      <c r="E221" s="216"/>
      <c r="F221" s="216"/>
      <c r="G221" s="216"/>
      <c r="H221" s="216"/>
      <c r="I221" s="216"/>
      <c r="J221" s="216"/>
      <c r="K221" s="217"/>
      <c r="L221" s="218">
        <f>AC10</f>
        <v>0</v>
      </c>
      <c r="M221" s="219"/>
      <c r="N221" s="42" t="s">
        <v>541</v>
      </c>
      <c r="O221" s="220" t="s">
        <v>542</v>
      </c>
      <c r="P221" s="221"/>
      <c r="Q221" s="220" t="s">
        <v>543</v>
      </c>
      <c r="R221" s="221"/>
      <c r="S221" s="220" t="s">
        <v>544</v>
      </c>
      <c r="T221" s="221"/>
      <c r="U221" s="232" t="s">
        <v>622</v>
      </c>
      <c r="V221" s="233"/>
      <c r="W221" s="130"/>
      <c r="X221" s="211" t="s">
        <v>499</v>
      </c>
      <c r="Y221" s="132"/>
    </row>
    <row r="222" spans="1:25" ht="16.2" thickBot="1" x14ac:dyDescent="0.35">
      <c r="A222" s="49" t="s">
        <v>546</v>
      </c>
      <c r="B222" s="113"/>
      <c r="C222" s="45">
        <v>1</v>
      </c>
      <c r="D222" s="46">
        <v>2</v>
      </c>
      <c r="E222" s="46">
        <v>3</v>
      </c>
      <c r="F222" s="46">
        <v>4</v>
      </c>
      <c r="G222" s="46">
        <v>5</v>
      </c>
      <c r="H222" s="46">
        <v>6</v>
      </c>
      <c r="I222" s="46">
        <v>7</v>
      </c>
      <c r="J222" s="46">
        <v>8</v>
      </c>
      <c r="K222" s="46">
        <v>9</v>
      </c>
      <c r="L222" s="47">
        <v>10</v>
      </c>
      <c r="M222" s="47">
        <v>11</v>
      </c>
      <c r="N222" s="48">
        <v>12</v>
      </c>
      <c r="O222" s="49" t="s">
        <v>547</v>
      </c>
      <c r="P222" s="50" t="s">
        <v>548</v>
      </c>
      <c r="Q222" s="51" t="s">
        <v>547</v>
      </c>
      <c r="R222" s="48" t="s">
        <v>548</v>
      </c>
      <c r="S222" s="51" t="s">
        <v>547</v>
      </c>
      <c r="T222" s="52" t="s">
        <v>548</v>
      </c>
      <c r="U222" s="234"/>
      <c r="V222" s="235"/>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22"/>
      <c r="V223" s="223"/>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22"/>
      <c r="V224" s="223"/>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22"/>
      <c r="V225" s="223"/>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22"/>
      <c r="V226" s="223"/>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22"/>
      <c r="V227" s="223"/>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22"/>
      <c r="V228" s="223"/>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22"/>
      <c r="V229" s="223"/>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22"/>
      <c r="V230" s="223"/>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22"/>
      <c r="V231" s="223"/>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22"/>
      <c r="V232" s="223"/>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22"/>
      <c r="V233" s="223"/>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29"/>
      <c r="V234" s="230"/>
    </row>
    <row r="236" spans="1:25" x14ac:dyDescent="0.25">
      <c r="A236" s="76" t="s">
        <v>594</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665</v>
      </c>
    </row>
    <row r="245" spans="1:25" ht="13.8" thickBot="1" x14ac:dyDescent="0.3"/>
    <row r="246" spans="1:25" ht="100.2" customHeight="1" thickBot="1" x14ac:dyDescent="0.55000000000000004">
      <c r="A246" s="212" t="str">
        <f>CONCATENATE(AH11,"                ",AG11)</f>
        <v>SABEL                groot wapen</v>
      </c>
      <c r="B246" s="213"/>
      <c r="C246" s="214" t="str">
        <f>CONCATENATE(AE11,"                     ", AF11)</f>
        <v>LOPER                      gemengd elek./mech.</v>
      </c>
      <c r="D246" s="215"/>
      <c r="E246" s="216"/>
      <c r="F246" s="216"/>
      <c r="G246" s="216"/>
      <c r="H246" s="216"/>
      <c r="I246" s="216"/>
      <c r="J246" s="216"/>
      <c r="K246" s="217"/>
      <c r="L246" s="218">
        <f>AC11</f>
        <v>0</v>
      </c>
      <c r="M246" s="219"/>
      <c r="N246" s="42" t="s">
        <v>541</v>
      </c>
      <c r="O246" s="220" t="s">
        <v>542</v>
      </c>
      <c r="P246" s="221"/>
      <c r="Q246" s="220" t="s">
        <v>543</v>
      </c>
      <c r="R246" s="221"/>
      <c r="S246" s="220" t="s">
        <v>544</v>
      </c>
      <c r="T246" s="221"/>
      <c r="U246" s="232" t="s">
        <v>622</v>
      </c>
      <c r="V246" s="233"/>
      <c r="W246" s="130"/>
      <c r="X246" s="209" t="s">
        <v>506</v>
      </c>
      <c r="Y246" s="132"/>
    </row>
    <row r="247" spans="1:25" ht="16.2" thickBot="1" x14ac:dyDescent="0.35">
      <c r="A247" s="49" t="s">
        <v>546</v>
      </c>
      <c r="B247" s="113"/>
      <c r="C247" s="45">
        <v>1</v>
      </c>
      <c r="D247" s="46">
        <v>2</v>
      </c>
      <c r="E247" s="46">
        <v>3</v>
      </c>
      <c r="F247" s="46">
        <v>4</v>
      </c>
      <c r="G247" s="46">
        <v>5</v>
      </c>
      <c r="H247" s="46">
        <v>6</v>
      </c>
      <c r="I247" s="46">
        <v>7</v>
      </c>
      <c r="J247" s="46">
        <v>8</v>
      </c>
      <c r="K247" s="46">
        <v>9</v>
      </c>
      <c r="L247" s="47">
        <v>10</v>
      </c>
      <c r="M247" s="47">
        <v>11</v>
      </c>
      <c r="N247" s="48">
        <v>12</v>
      </c>
      <c r="O247" s="49" t="s">
        <v>547</v>
      </c>
      <c r="P247" s="50" t="s">
        <v>548</v>
      </c>
      <c r="Q247" s="51" t="s">
        <v>547</v>
      </c>
      <c r="R247" s="48" t="s">
        <v>548</v>
      </c>
      <c r="S247" s="51" t="s">
        <v>547</v>
      </c>
      <c r="T247" s="52" t="s">
        <v>548</v>
      </c>
      <c r="U247" s="234"/>
      <c r="V247" s="235"/>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22"/>
      <c r="V248" s="223"/>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22"/>
      <c r="V249" s="223"/>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22"/>
      <c r="V250" s="223"/>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22"/>
      <c r="V251" s="223"/>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22"/>
      <c r="V252" s="223"/>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22"/>
      <c r="V253" s="223"/>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22"/>
      <c r="V254" s="223"/>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22"/>
      <c r="V255" s="223"/>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22"/>
      <c r="V256" s="223"/>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22"/>
      <c r="V257" s="223"/>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22"/>
      <c r="V258" s="223"/>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29"/>
      <c r="V259" s="230"/>
    </row>
    <row r="261" spans="1:25" x14ac:dyDescent="0.25">
      <c r="A261" s="76" t="s">
        <v>594</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665</v>
      </c>
    </row>
    <row r="270" spans="1:25" ht="13.8" thickBot="1" x14ac:dyDescent="0.3"/>
    <row r="271" spans="1:25" ht="100.2" customHeight="1" thickBot="1" x14ac:dyDescent="0.55000000000000004">
      <c r="A271" s="212" t="str">
        <f>CONCATENATE(AH12,"                ",AG12)</f>
        <v>SABEL                groot wapen</v>
      </c>
      <c r="B271" s="213"/>
      <c r="C271" s="214" t="str">
        <f>CONCATENATE(AE12,"                     ", AF12)</f>
        <v>LOPER                      gemengd elek./mech.</v>
      </c>
      <c r="D271" s="215"/>
      <c r="E271" s="216"/>
      <c r="F271" s="216"/>
      <c r="G271" s="216"/>
      <c r="H271" s="216"/>
      <c r="I271" s="216"/>
      <c r="J271" s="216"/>
      <c r="K271" s="217"/>
      <c r="L271" s="218">
        <f>AC12</f>
        <v>0</v>
      </c>
      <c r="M271" s="219"/>
      <c r="N271" s="42" t="s">
        <v>541</v>
      </c>
      <c r="O271" s="220" t="s">
        <v>542</v>
      </c>
      <c r="P271" s="221"/>
      <c r="Q271" s="220" t="s">
        <v>543</v>
      </c>
      <c r="R271" s="221"/>
      <c r="S271" s="220" t="s">
        <v>544</v>
      </c>
      <c r="T271" s="221"/>
      <c r="U271" s="232" t="s">
        <v>622</v>
      </c>
      <c r="V271" s="233"/>
      <c r="W271" s="130"/>
      <c r="X271" s="209" t="s">
        <v>510</v>
      </c>
      <c r="Y271" s="132"/>
    </row>
    <row r="272" spans="1:25" ht="16.2" thickBot="1" x14ac:dyDescent="0.35">
      <c r="A272" s="49" t="s">
        <v>546</v>
      </c>
      <c r="B272" s="113"/>
      <c r="C272" s="45">
        <v>1</v>
      </c>
      <c r="D272" s="46">
        <v>2</v>
      </c>
      <c r="E272" s="46">
        <v>3</v>
      </c>
      <c r="F272" s="46">
        <v>4</v>
      </c>
      <c r="G272" s="46">
        <v>5</v>
      </c>
      <c r="H272" s="46">
        <v>6</v>
      </c>
      <c r="I272" s="46">
        <v>7</v>
      </c>
      <c r="J272" s="46">
        <v>8</v>
      </c>
      <c r="K272" s="46">
        <v>9</v>
      </c>
      <c r="L272" s="47">
        <v>10</v>
      </c>
      <c r="M272" s="47">
        <v>11</v>
      </c>
      <c r="N272" s="48">
        <v>12</v>
      </c>
      <c r="O272" s="49" t="s">
        <v>547</v>
      </c>
      <c r="P272" s="50" t="s">
        <v>548</v>
      </c>
      <c r="Q272" s="51" t="s">
        <v>547</v>
      </c>
      <c r="R272" s="48" t="s">
        <v>548</v>
      </c>
      <c r="S272" s="51" t="s">
        <v>547</v>
      </c>
      <c r="T272" s="52" t="s">
        <v>548</v>
      </c>
      <c r="U272" s="234"/>
      <c r="V272" s="235"/>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22"/>
      <c r="V273" s="223"/>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22"/>
      <c r="V274" s="223"/>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22"/>
      <c r="V275" s="223"/>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22"/>
      <c r="V276" s="223"/>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22"/>
      <c r="V277" s="223"/>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22"/>
      <c r="V278" s="223"/>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22"/>
      <c r="V279" s="223"/>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22"/>
      <c r="V280" s="223"/>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22"/>
      <c r="V281" s="223"/>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22"/>
      <c r="V282" s="223"/>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22"/>
      <c r="V283" s="223"/>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29"/>
      <c r="V284" s="230"/>
    </row>
    <row r="286" spans="1:25" x14ac:dyDescent="0.25">
      <c r="A286" s="76" t="s">
        <v>594</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665</v>
      </c>
    </row>
    <row r="295" spans="1:25" ht="13.8" thickBot="1" x14ac:dyDescent="0.3"/>
    <row r="296" spans="1:25" ht="100.2" customHeight="1" thickBot="1" x14ac:dyDescent="0.55000000000000004">
      <c r="A296" s="212" t="str">
        <f>CONCATENATE(AH13,"                ",AG13)</f>
        <v>SABEL                groot wapen</v>
      </c>
      <c r="B296" s="213"/>
      <c r="C296" s="214" t="str">
        <f>CONCATENATE(AE13,"                     ", AF13)</f>
        <v>LOPER                      gemengd elek./mech.</v>
      </c>
      <c r="D296" s="215"/>
      <c r="E296" s="216"/>
      <c r="F296" s="216"/>
      <c r="G296" s="216"/>
      <c r="H296" s="216"/>
      <c r="I296" s="216"/>
      <c r="J296" s="216"/>
      <c r="K296" s="217"/>
      <c r="L296" s="218">
        <f>AC13</f>
        <v>0</v>
      </c>
      <c r="M296" s="219"/>
      <c r="N296" s="42" t="s">
        <v>541</v>
      </c>
      <c r="O296" s="220" t="s">
        <v>542</v>
      </c>
      <c r="P296" s="221"/>
      <c r="Q296" s="220" t="s">
        <v>543</v>
      </c>
      <c r="R296" s="221"/>
      <c r="S296" s="220" t="s">
        <v>544</v>
      </c>
      <c r="T296" s="221"/>
      <c r="U296" s="232" t="s">
        <v>622</v>
      </c>
      <c r="V296" s="233"/>
      <c r="W296" s="130"/>
      <c r="X296" s="209" t="s">
        <v>515</v>
      </c>
      <c r="Y296" s="132"/>
    </row>
    <row r="297" spans="1:25" ht="16.2" thickBot="1" x14ac:dyDescent="0.35">
      <c r="A297" s="49" t="s">
        <v>546</v>
      </c>
      <c r="B297" s="113"/>
      <c r="C297" s="45">
        <v>1</v>
      </c>
      <c r="D297" s="46">
        <v>2</v>
      </c>
      <c r="E297" s="46">
        <v>3</v>
      </c>
      <c r="F297" s="46">
        <v>4</v>
      </c>
      <c r="G297" s="46">
        <v>5</v>
      </c>
      <c r="H297" s="46">
        <v>6</v>
      </c>
      <c r="I297" s="46">
        <v>7</v>
      </c>
      <c r="J297" s="46">
        <v>8</v>
      </c>
      <c r="K297" s="46">
        <v>9</v>
      </c>
      <c r="L297" s="47">
        <v>10</v>
      </c>
      <c r="M297" s="47">
        <v>11</v>
      </c>
      <c r="N297" s="48">
        <v>12</v>
      </c>
      <c r="O297" s="49" t="s">
        <v>547</v>
      </c>
      <c r="P297" s="50" t="s">
        <v>548</v>
      </c>
      <c r="Q297" s="51" t="s">
        <v>547</v>
      </c>
      <c r="R297" s="48" t="s">
        <v>548</v>
      </c>
      <c r="S297" s="51" t="s">
        <v>547</v>
      </c>
      <c r="T297" s="52" t="s">
        <v>548</v>
      </c>
      <c r="U297" s="234"/>
      <c r="V297" s="235"/>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22"/>
      <c r="V298" s="223"/>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22"/>
      <c r="V299" s="223"/>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22"/>
      <c r="V300" s="223"/>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22"/>
      <c r="V301" s="223"/>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22"/>
      <c r="V302" s="223"/>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22"/>
      <c r="V303" s="223"/>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22"/>
      <c r="V304" s="223"/>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22"/>
      <c r="V305" s="223"/>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22"/>
      <c r="V306" s="223"/>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22"/>
      <c r="V307" s="223"/>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22"/>
      <c r="V308" s="223"/>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29"/>
      <c r="V309" s="230"/>
    </row>
    <row r="311" spans="1:25" x14ac:dyDescent="0.25">
      <c r="A311" s="76" t="s">
        <v>594</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665</v>
      </c>
    </row>
    <row r="320" spans="1:25" ht="13.8" thickBot="1" x14ac:dyDescent="0.3"/>
    <row r="321" spans="1:25" ht="100.2" customHeight="1" thickBot="1" x14ac:dyDescent="0.55000000000000004">
      <c r="A321" s="212" t="str">
        <f>CONCATENATE(AH14,"                ",AG14)</f>
        <v>SABEL                groot wapen</v>
      </c>
      <c r="B321" s="213"/>
      <c r="C321" s="214" t="str">
        <f>CONCATENATE(AE14,"                     ", AF14)</f>
        <v>LOPER                      gemengd elek./mech.</v>
      </c>
      <c r="D321" s="215"/>
      <c r="E321" s="216"/>
      <c r="F321" s="216"/>
      <c r="G321" s="216"/>
      <c r="H321" s="216"/>
      <c r="I321" s="216"/>
      <c r="J321" s="216"/>
      <c r="K321" s="217"/>
      <c r="L321" s="218">
        <f>AC14</f>
        <v>0</v>
      </c>
      <c r="M321" s="219"/>
      <c r="N321" s="42" t="s">
        <v>541</v>
      </c>
      <c r="O321" s="220" t="s">
        <v>542</v>
      </c>
      <c r="P321" s="221"/>
      <c r="Q321" s="220" t="s">
        <v>543</v>
      </c>
      <c r="R321" s="221"/>
      <c r="S321" s="220" t="s">
        <v>544</v>
      </c>
      <c r="T321" s="221"/>
      <c r="U321" s="232" t="s">
        <v>622</v>
      </c>
      <c r="V321" s="233"/>
      <c r="W321" s="130"/>
      <c r="X321" s="209" t="s">
        <v>519</v>
      </c>
      <c r="Y321" s="132"/>
    </row>
    <row r="322" spans="1:25" ht="16.2" thickBot="1" x14ac:dyDescent="0.35">
      <c r="A322" s="49" t="s">
        <v>546</v>
      </c>
      <c r="B322" s="113"/>
      <c r="C322" s="45">
        <v>1</v>
      </c>
      <c r="D322" s="46">
        <v>2</v>
      </c>
      <c r="E322" s="46">
        <v>3</v>
      </c>
      <c r="F322" s="46">
        <v>4</v>
      </c>
      <c r="G322" s="46">
        <v>5</v>
      </c>
      <c r="H322" s="46">
        <v>6</v>
      </c>
      <c r="I322" s="46">
        <v>7</v>
      </c>
      <c r="J322" s="46">
        <v>8</v>
      </c>
      <c r="K322" s="46">
        <v>9</v>
      </c>
      <c r="L322" s="47">
        <v>10</v>
      </c>
      <c r="M322" s="47">
        <v>11</v>
      </c>
      <c r="N322" s="48">
        <v>12</v>
      </c>
      <c r="O322" s="49" t="s">
        <v>547</v>
      </c>
      <c r="P322" s="50" t="s">
        <v>548</v>
      </c>
      <c r="Q322" s="51" t="s">
        <v>547</v>
      </c>
      <c r="R322" s="48" t="s">
        <v>548</v>
      </c>
      <c r="S322" s="51" t="s">
        <v>547</v>
      </c>
      <c r="T322" s="52" t="s">
        <v>548</v>
      </c>
      <c r="U322" s="234"/>
      <c r="V322" s="235"/>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22"/>
      <c r="V323" s="223"/>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22"/>
      <c r="V324" s="223"/>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22"/>
      <c r="V325" s="223"/>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22"/>
      <c r="V326" s="223"/>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22"/>
      <c r="V327" s="223"/>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22"/>
      <c r="V328" s="223"/>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22"/>
      <c r="V329" s="223"/>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22"/>
      <c r="V330" s="223"/>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22"/>
      <c r="V331" s="223"/>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22"/>
      <c r="V332" s="223"/>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22"/>
      <c r="V333" s="223"/>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29"/>
      <c r="V334" s="230"/>
    </row>
    <row r="336" spans="1:25" x14ac:dyDescent="0.25">
      <c r="A336" s="76" t="s">
        <v>594</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665</v>
      </c>
    </row>
    <row r="345" spans="1:25" ht="13.8" thickBot="1" x14ac:dyDescent="0.3"/>
    <row r="346" spans="1:25" ht="100.2" customHeight="1" thickBot="1" x14ac:dyDescent="0.55000000000000004">
      <c r="A346" s="212" t="str">
        <f>CONCATENATE(AH15,"                ",AG15)</f>
        <v>SABEL                groot wapen</v>
      </c>
      <c r="B346" s="213"/>
      <c r="C346" s="214" t="str">
        <f>CONCATENATE(AE15,"                     ", AF15)</f>
        <v>LOPER                      gemengd elek./mech.</v>
      </c>
      <c r="D346" s="215"/>
      <c r="E346" s="216"/>
      <c r="F346" s="216"/>
      <c r="G346" s="216"/>
      <c r="H346" s="216"/>
      <c r="I346" s="216"/>
      <c r="J346" s="216"/>
      <c r="K346" s="217"/>
      <c r="L346" s="218">
        <f>AC14</f>
        <v>0</v>
      </c>
      <c r="M346" s="219"/>
      <c r="N346" s="42" t="s">
        <v>541</v>
      </c>
      <c r="O346" s="220" t="s">
        <v>542</v>
      </c>
      <c r="P346" s="221"/>
      <c r="Q346" s="220" t="s">
        <v>543</v>
      </c>
      <c r="R346" s="221"/>
      <c r="S346" s="220" t="s">
        <v>544</v>
      </c>
      <c r="T346" s="221"/>
      <c r="U346" s="232" t="s">
        <v>622</v>
      </c>
      <c r="V346" s="233"/>
      <c r="W346" s="130"/>
      <c r="X346" s="209" t="s">
        <v>523</v>
      </c>
      <c r="Y346" s="132"/>
    </row>
    <row r="347" spans="1:25" ht="16.2" thickBot="1" x14ac:dyDescent="0.35">
      <c r="A347" s="49" t="s">
        <v>546</v>
      </c>
      <c r="B347" s="113"/>
      <c r="C347" s="45">
        <v>1</v>
      </c>
      <c r="D347" s="46">
        <v>2</v>
      </c>
      <c r="E347" s="46">
        <v>3</v>
      </c>
      <c r="F347" s="46">
        <v>4</v>
      </c>
      <c r="G347" s="46">
        <v>5</v>
      </c>
      <c r="H347" s="46">
        <v>6</v>
      </c>
      <c r="I347" s="46">
        <v>7</v>
      </c>
      <c r="J347" s="46">
        <v>8</v>
      </c>
      <c r="K347" s="46">
        <v>9</v>
      </c>
      <c r="L347" s="47">
        <v>10</v>
      </c>
      <c r="M347" s="47">
        <v>11</v>
      </c>
      <c r="N347" s="48">
        <v>12</v>
      </c>
      <c r="O347" s="49" t="s">
        <v>547</v>
      </c>
      <c r="P347" s="50" t="s">
        <v>548</v>
      </c>
      <c r="Q347" s="51" t="s">
        <v>547</v>
      </c>
      <c r="R347" s="48" t="s">
        <v>548</v>
      </c>
      <c r="S347" s="51" t="s">
        <v>547</v>
      </c>
      <c r="T347" s="52" t="s">
        <v>548</v>
      </c>
      <c r="U347" s="234"/>
      <c r="V347" s="235"/>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22"/>
      <c r="V348" s="223"/>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22"/>
      <c r="V349" s="223"/>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22"/>
      <c r="V350" s="223"/>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22"/>
      <c r="V351" s="223"/>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22"/>
      <c r="V352" s="223"/>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22"/>
      <c r="V353" s="223"/>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22"/>
      <c r="V354" s="223"/>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22"/>
      <c r="V355" s="223"/>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22"/>
      <c r="V356" s="223"/>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22"/>
      <c r="V357" s="223"/>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22"/>
      <c r="V358" s="223"/>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29"/>
      <c r="V359" s="230"/>
    </row>
    <row r="361" spans="1:25" x14ac:dyDescent="0.25">
      <c r="A361" s="76" t="s">
        <v>594</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665</v>
      </c>
    </row>
    <row r="370" spans="1:25" ht="13.8" thickBot="1" x14ac:dyDescent="0.3"/>
    <row r="371" spans="1:25" ht="100.2" customHeight="1" thickBot="1" x14ac:dyDescent="0.55000000000000004">
      <c r="A371" s="212" t="str">
        <f>CONCATENATE(AH16,"                ",AG16)</f>
        <v>SABEL                groot wapen</v>
      </c>
      <c r="B371" s="213"/>
      <c r="C371" s="214" t="str">
        <f>CONCATENATE(AE16,"                     ", AF16)</f>
        <v>LOPER                      gemengd elek./mech.</v>
      </c>
      <c r="D371" s="215"/>
      <c r="E371" s="216"/>
      <c r="F371" s="216"/>
      <c r="G371" s="216"/>
      <c r="H371" s="216"/>
      <c r="I371" s="216"/>
      <c r="J371" s="216"/>
      <c r="K371" s="217"/>
      <c r="L371" s="218">
        <f>AC16</f>
        <v>0</v>
      </c>
      <c r="M371" s="219"/>
      <c r="N371" s="42" t="s">
        <v>541</v>
      </c>
      <c r="O371" s="220" t="s">
        <v>542</v>
      </c>
      <c r="P371" s="221"/>
      <c r="Q371" s="220" t="s">
        <v>543</v>
      </c>
      <c r="R371" s="221"/>
      <c r="S371" s="220" t="s">
        <v>544</v>
      </c>
      <c r="T371" s="221"/>
      <c r="U371" s="232" t="s">
        <v>622</v>
      </c>
      <c r="V371" s="233"/>
      <c r="W371" s="130"/>
      <c r="X371" s="209" t="s">
        <v>527</v>
      </c>
      <c r="Y371" s="132"/>
    </row>
    <row r="372" spans="1:25" ht="16.2" thickBot="1" x14ac:dyDescent="0.35">
      <c r="A372" s="49" t="s">
        <v>546</v>
      </c>
      <c r="B372" s="113"/>
      <c r="C372" s="45">
        <v>1</v>
      </c>
      <c r="D372" s="46">
        <v>2</v>
      </c>
      <c r="E372" s="46">
        <v>3</v>
      </c>
      <c r="F372" s="46">
        <v>4</v>
      </c>
      <c r="G372" s="46">
        <v>5</v>
      </c>
      <c r="H372" s="46">
        <v>6</v>
      </c>
      <c r="I372" s="46">
        <v>7</v>
      </c>
      <c r="J372" s="46">
        <v>8</v>
      </c>
      <c r="K372" s="46">
        <v>9</v>
      </c>
      <c r="L372" s="47">
        <v>10</v>
      </c>
      <c r="M372" s="47">
        <v>11</v>
      </c>
      <c r="N372" s="48">
        <v>12</v>
      </c>
      <c r="O372" s="49" t="s">
        <v>547</v>
      </c>
      <c r="P372" s="50" t="s">
        <v>548</v>
      </c>
      <c r="Q372" s="51" t="s">
        <v>547</v>
      </c>
      <c r="R372" s="48" t="s">
        <v>548</v>
      </c>
      <c r="S372" s="51" t="s">
        <v>547</v>
      </c>
      <c r="T372" s="52" t="s">
        <v>548</v>
      </c>
      <c r="U372" s="234"/>
      <c r="V372" s="235"/>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22"/>
      <c r="V373" s="223"/>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22"/>
      <c r="V374" s="223"/>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22"/>
      <c r="V375" s="223"/>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22"/>
      <c r="V376" s="223"/>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22"/>
      <c r="V377" s="223"/>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22"/>
      <c r="V378" s="223"/>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22"/>
      <c r="V379" s="223"/>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22"/>
      <c r="V380" s="223"/>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22"/>
      <c r="V381" s="223"/>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22"/>
      <c r="V382" s="223"/>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22"/>
      <c r="V383" s="223"/>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29"/>
      <c r="V384" s="230"/>
    </row>
    <row r="386" spans="1:25" x14ac:dyDescent="0.25">
      <c r="A386" s="76" t="s">
        <v>594</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665</v>
      </c>
    </row>
    <row r="395" spans="1:25" ht="13.8" thickBot="1" x14ac:dyDescent="0.3"/>
    <row r="396" spans="1:25" ht="100.2" customHeight="1" thickBot="1" x14ac:dyDescent="0.55000000000000004">
      <c r="A396" s="212" t="str">
        <f>CONCATENATE(AH17,"                ",AG17)</f>
        <v>SABEL                groot wapen</v>
      </c>
      <c r="B396" s="213"/>
      <c r="C396" s="214" t="str">
        <f>CONCATENATE(AE17,"                     ", AF17)</f>
        <v>LOPER                      gemengd elek./mech.</v>
      </c>
      <c r="D396" s="215"/>
      <c r="E396" s="216"/>
      <c r="F396" s="216"/>
      <c r="G396" s="216"/>
      <c r="H396" s="216"/>
      <c r="I396" s="216"/>
      <c r="J396" s="216"/>
      <c r="K396" s="217"/>
      <c r="L396" s="218">
        <f>AC17</f>
        <v>0</v>
      </c>
      <c r="M396" s="219"/>
      <c r="N396" s="42" t="s">
        <v>541</v>
      </c>
      <c r="O396" s="220" t="s">
        <v>542</v>
      </c>
      <c r="P396" s="221"/>
      <c r="Q396" s="220" t="s">
        <v>543</v>
      </c>
      <c r="R396" s="221"/>
      <c r="S396" s="220" t="s">
        <v>544</v>
      </c>
      <c r="T396" s="221"/>
      <c r="U396" s="232" t="s">
        <v>622</v>
      </c>
      <c r="V396" s="233"/>
      <c r="W396" s="130"/>
      <c r="X396" s="209" t="s">
        <v>666</v>
      </c>
      <c r="Y396" s="132"/>
    </row>
    <row r="397" spans="1:25" ht="16.2" thickBot="1" x14ac:dyDescent="0.35">
      <c r="A397" s="49" t="s">
        <v>546</v>
      </c>
      <c r="B397" s="113"/>
      <c r="C397" s="45">
        <v>1</v>
      </c>
      <c r="D397" s="46">
        <v>2</v>
      </c>
      <c r="E397" s="46">
        <v>3</v>
      </c>
      <c r="F397" s="46">
        <v>4</v>
      </c>
      <c r="G397" s="46">
        <v>5</v>
      </c>
      <c r="H397" s="46">
        <v>6</v>
      </c>
      <c r="I397" s="46">
        <v>7</v>
      </c>
      <c r="J397" s="46">
        <v>8</v>
      </c>
      <c r="K397" s="46">
        <v>9</v>
      </c>
      <c r="L397" s="47">
        <v>10</v>
      </c>
      <c r="M397" s="47">
        <v>11</v>
      </c>
      <c r="N397" s="48">
        <v>12</v>
      </c>
      <c r="O397" s="49" t="s">
        <v>547</v>
      </c>
      <c r="P397" s="50" t="s">
        <v>548</v>
      </c>
      <c r="Q397" s="51" t="s">
        <v>547</v>
      </c>
      <c r="R397" s="48" t="s">
        <v>548</v>
      </c>
      <c r="S397" s="51" t="s">
        <v>547</v>
      </c>
      <c r="T397" s="52" t="s">
        <v>548</v>
      </c>
      <c r="U397" s="234"/>
      <c r="V397" s="235"/>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22"/>
      <c r="V398" s="223"/>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22"/>
      <c r="V399" s="223"/>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22"/>
      <c r="V400" s="223"/>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22"/>
      <c r="V401" s="223"/>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22"/>
      <c r="V402" s="223"/>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22"/>
      <c r="V403" s="223"/>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22"/>
      <c r="V404" s="223"/>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22"/>
      <c r="V405" s="223"/>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22"/>
      <c r="V406" s="223"/>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22"/>
      <c r="V407" s="223"/>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22"/>
      <c r="V408" s="223"/>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29"/>
      <c r="V409" s="230"/>
    </row>
    <row r="411" spans="1:25" x14ac:dyDescent="0.25">
      <c r="A411" s="76" t="s">
        <v>594</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665</v>
      </c>
    </row>
    <row r="420" spans="1:25" ht="13.8" thickBot="1" x14ac:dyDescent="0.3"/>
    <row r="421" spans="1:25" ht="100.2" customHeight="1" thickBot="1" x14ac:dyDescent="0.55000000000000004">
      <c r="A421" s="212" t="str">
        <f>CONCATENATE(AH18,"                ",AG18)</f>
        <v>SABEL                groot wapen</v>
      </c>
      <c r="B421" s="213"/>
      <c r="C421" s="214" t="str">
        <f>CONCATENATE(AE18,"                     ", AF18)</f>
        <v>LOPER                      gemengd elek./mech.</v>
      </c>
      <c r="D421" s="215"/>
      <c r="E421" s="216"/>
      <c r="F421" s="216"/>
      <c r="G421" s="216"/>
      <c r="H421" s="216"/>
      <c r="I421" s="216"/>
      <c r="J421" s="216"/>
      <c r="K421" s="217"/>
      <c r="L421" s="218">
        <f>AC18</f>
        <v>0</v>
      </c>
      <c r="M421" s="219"/>
      <c r="N421" s="42" t="s">
        <v>541</v>
      </c>
      <c r="O421" s="220" t="s">
        <v>542</v>
      </c>
      <c r="P421" s="221"/>
      <c r="Q421" s="220" t="s">
        <v>543</v>
      </c>
      <c r="R421" s="221"/>
      <c r="S421" s="220" t="s">
        <v>544</v>
      </c>
      <c r="T421" s="221"/>
      <c r="U421" s="232" t="s">
        <v>622</v>
      </c>
      <c r="V421" s="233"/>
      <c r="W421" s="130"/>
      <c r="X421" s="209" t="s">
        <v>534</v>
      </c>
      <c r="Y421" s="132"/>
    </row>
    <row r="422" spans="1:25" ht="16.2" thickBot="1" x14ac:dyDescent="0.35">
      <c r="A422" s="49" t="s">
        <v>546</v>
      </c>
      <c r="B422" s="113"/>
      <c r="C422" s="45">
        <v>1</v>
      </c>
      <c r="D422" s="46">
        <v>2</v>
      </c>
      <c r="E422" s="46">
        <v>3</v>
      </c>
      <c r="F422" s="46">
        <v>4</v>
      </c>
      <c r="G422" s="46">
        <v>5</v>
      </c>
      <c r="H422" s="46">
        <v>6</v>
      </c>
      <c r="I422" s="46">
        <v>7</v>
      </c>
      <c r="J422" s="46">
        <v>8</v>
      </c>
      <c r="K422" s="46">
        <v>9</v>
      </c>
      <c r="L422" s="47">
        <v>10</v>
      </c>
      <c r="M422" s="47">
        <v>11</v>
      </c>
      <c r="N422" s="48">
        <v>12</v>
      </c>
      <c r="O422" s="49" t="s">
        <v>547</v>
      </c>
      <c r="P422" s="50" t="s">
        <v>548</v>
      </c>
      <c r="Q422" s="51" t="s">
        <v>547</v>
      </c>
      <c r="R422" s="48" t="s">
        <v>548</v>
      </c>
      <c r="S422" s="51" t="s">
        <v>547</v>
      </c>
      <c r="T422" s="52" t="s">
        <v>548</v>
      </c>
      <c r="U422" s="234"/>
      <c r="V422" s="235"/>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22"/>
      <c r="V423" s="223"/>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22"/>
      <c r="V424" s="223"/>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22"/>
      <c r="V425" s="223"/>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22"/>
      <c r="V426" s="223"/>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22"/>
      <c r="V427" s="223"/>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22"/>
      <c r="V428" s="223"/>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22"/>
      <c r="V429" s="223"/>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22"/>
      <c r="V430" s="223"/>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22"/>
      <c r="V431" s="223"/>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22"/>
      <c r="V432" s="223"/>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22"/>
      <c r="V433" s="223"/>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29"/>
      <c r="V434" s="230"/>
    </row>
    <row r="436" spans="1:25" x14ac:dyDescent="0.25">
      <c r="A436" s="76" t="s">
        <v>594</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665</v>
      </c>
    </row>
    <row r="445" spans="1:25" ht="13.8" thickBot="1" x14ac:dyDescent="0.3"/>
    <row r="446" spans="1:25" ht="100.2" customHeight="1" thickBot="1" x14ac:dyDescent="0.55000000000000004">
      <c r="A446" s="212" t="str">
        <f>CONCATENATE(AH19,"                ",AG19)</f>
        <v>SABEL                groot wapen</v>
      </c>
      <c r="B446" s="213"/>
      <c r="C446" s="214" t="str">
        <f>CONCATENATE(AE19,"                     ", AF19)</f>
        <v>LOPER                      gemengd elek./mech.</v>
      </c>
      <c r="D446" s="215"/>
      <c r="E446" s="216"/>
      <c r="F446" s="216"/>
      <c r="G446" s="216"/>
      <c r="H446" s="216"/>
      <c r="I446" s="216"/>
      <c r="J446" s="216"/>
      <c r="K446" s="217"/>
      <c r="L446" s="218">
        <f>AC10</f>
        <v>0</v>
      </c>
      <c r="M446" s="219"/>
      <c r="N446" s="42" t="s">
        <v>541</v>
      </c>
      <c r="O446" s="220" t="s">
        <v>542</v>
      </c>
      <c r="P446" s="221"/>
      <c r="Q446" s="220" t="s">
        <v>543</v>
      </c>
      <c r="R446" s="221"/>
      <c r="S446" s="220" t="s">
        <v>544</v>
      </c>
      <c r="T446" s="221"/>
      <c r="U446" s="232" t="s">
        <v>622</v>
      </c>
      <c r="V446" s="233"/>
      <c r="W446" s="130"/>
      <c r="X446" s="209" t="s">
        <v>538</v>
      </c>
      <c r="Y446" s="132"/>
    </row>
    <row r="447" spans="1:25" ht="16.2" thickBot="1" x14ac:dyDescent="0.35">
      <c r="A447" s="49" t="s">
        <v>546</v>
      </c>
      <c r="B447" s="113"/>
      <c r="C447" s="45">
        <v>1</v>
      </c>
      <c r="D447" s="46">
        <v>2</v>
      </c>
      <c r="E447" s="46">
        <v>3</v>
      </c>
      <c r="F447" s="46">
        <v>4</v>
      </c>
      <c r="G447" s="46">
        <v>5</v>
      </c>
      <c r="H447" s="46">
        <v>6</v>
      </c>
      <c r="I447" s="46">
        <v>7</v>
      </c>
      <c r="J447" s="46">
        <v>8</v>
      </c>
      <c r="K447" s="46">
        <v>9</v>
      </c>
      <c r="L447" s="47">
        <v>10</v>
      </c>
      <c r="M447" s="47">
        <v>11</v>
      </c>
      <c r="N447" s="48">
        <v>12</v>
      </c>
      <c r="O447" s="49" t="s">
        <v>547</v>
      </c>
      <c r="P447" s="50" t="s">
        <v>548</v>
      </c>
      <c r="Q447" s="51" t="s">
        <v>547</v>
      </c>
      <c r="R447" s="48" t="s">
        <v>548</v>
      </c>
      <c r="S447" s="51" t="s">
        <v>547</v>
      </c>
      <c r="T447" s="52" t="s">
        <v>548</v>
      </c>
      <c r="U447" s="234"/>
      <c r="V447" s="235"/>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22"/>
      <c r="V448" s="223"/>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22"/>
      <c r="V449" s="223"/>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22"/>
      <c r="V450" s="223"/>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22"/>
      <c r="V451" s="223"/>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22"/>
      <c r="V452" s="223"/>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22"/>
      <c r="V453" s="223"/>
    </row>
    <row r="454" spans="1:25" ht="15.6" x14ac:dyDescent="0.3">
      <c r="A454" s="119"/>
      <c r="B454" s="116">
        <v>7</v>
      </c>
      <c r="C454" s="67"/>
      <c r="D454" s="69"/>
      <c r="E454" s="69"/>
      <c r="F454" s="69" t="s">
        <v>667</v>
      </c>
      <c r="G454" s="69"/>
      <c r="H454" s="69"/>
      <c r="I454" s="68"/>
      <c r="J454" s="83"/>
      <c r="K454" s="83"/>
      <c r="L454" s="83"/>
      <c r="M454" s="83"/>
      <c r="N454" s="84"/>
      <c r="O454" s="60"/>
      <c r="P454" s="61"/>
      <c r="Q454" s="60"/>
      <c r="R454" s="61"/>
      <c r="S454" s="60"/>
      <c r="T454" s="62"/>
      <c r="U454" s="222"/>
      <c r="V454" s="223"/>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22"/>
      <c r="V455" s="223"/>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22"/>
      <c r="V456" s="223"/>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22"/>
      <c r="V457" s="223"/>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22"/>
      <c r="V458" s="223"/>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29"/>
      <c r="V459" s="230"/>
    </row>
    <row r="461" spans="1:25" x14ac:dyDescent="0.25">
      <c r="A461" s="76" t="s">
        <v>594</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665</v>
      </c>
    </row>
    <row r="482" spans="1:2" ht="28.2" x14ac:dyDescent="0.5">
      <c r="A482" s="136"/>
      <c r="B482" s="136"/>
    </row>
  </sheetData>
  <mergeCells count="347">
    <mergeCell ref="U457:V457"/>
    <mergeCell ref="U458:V458"/>
    <mergeCell ref="U459:V459"/>
    <mergeCell ref="U448:V448"/>
    <mergeCell ref="U449:V449"/>
    <mergeCell ref="U450:V450"/>
    <mergeCell ref="U451:V451"/>
    <mergeCell ref="U452:V452"/>
    <mergeCell ref="U453:V453"/>
    <mergeCell ref="U454:V454"/>
    <mergeCell ref="U455:V455"/>
    <mergeCell ref="U456:V456"/>
    <mergeCell ref="U432:V432"/>
    <mergeCell ref="U433:V433"/>
    <mergeCell ref="U434:V434"/>
    <mergeCell ref="A446:B446"/>
    <mergeCell ref="C446:K446"/>
    <mergeCell ref="L446:M446"/>
    <mergeCell ref="O446:P446"/>
    <mergeCell ref="Q446:R446"/>
    <mergeCell ref="S446:T446"/>
    <mergeCell ref="U446:V447"/>
    <mergeCell ref="U423:V423"/>
    <mergeCell ref="U424:V424"/>
    <mergeCell ref="U425:V425"/>
    <mergeCell ref="U426:V426"/>
    <mergeCell ref="U427:V427"/>
    <mergeCell ref="U428:V428"/>
    <mergeCell ref="U429:V429"/>
    <mergeCell ref="U430:V430"/>
    <mergeCell ref="U431:V431"/>
    <mergeCell ref="U407:V407"/>
    <mergeCell ref="U408:V408"/>
    <mergeCell ref="U409:V409"/>
    <mergeCell ref="A421:B421"/>
    <mergeCell ref="C421:K421"/>
    <mergeCell ref="L421:M421"/>
    <mergeCell ref="O421:P421"/>
    <mergeCell ref="Q421:R421"/>
    <mergeCell ref="S421:T421"/>
    <mergeCell ref="U421:V422"/>
    <mergeCell ref="U398:V398"/>
    <mergeCell ref="U399:V399"/>
    <mergeCell ref="U400:V400"/>
    <mergeCell ref="U401:V401"/>
    <mergeCell ref="U402:V402"/>
    <mergeCell ref="U403:V403"/>
    <mergeCell ref="U404:V404"/>
    <mergeCell ref="U405:V405"/>
    <mergeCell ref="U406:V406"/>
    <mergeCell ref="U382:V382"/>
    <mergeCell ref="U383:V383"/>
    <mergeCell ref="U384:V384"/>
    <mergeCell ref="A396:B396"/>
    <mergeCell ref="C396:K396"/>
    <mergeCell ref="L396:M396"/>
    <mergeCell ref="O396:P396"/>
    <mergeCell ref="Q396:R396"/>
    <mergeCell ref="S396:T396"/>
    <mergeCell ref="U396:V397"/>
    <mergeCell ref="U373:V373"/>
    <mergeCell ref="U374:V374"/>
    <mergeCell ref="U375:V375"/>
    <mergeCell ref="U376:V376"/>
    <mergeCell ref="U377:V377"/>
    <mergeCell ref="U378:V378"/>
    <mergeCell ref="U379:V379"/>
    <mergeCell ref="U380:V380"/>
    <mergeCell ref="U381:V381"/>
    <mergeCell ref="U357:V357"/>
    <mergeCell ref="U358:V358"/>
    <mergeCell ref="U359:V359"/>
    <mergeCell ref="A371:B371"/>
    <mergeCell ref="C371:K371"/>
    <mergeCell ref="L371:M371"/>
    <mergeCell ref="O371:P371"/>
    <mergeCell ref="Q371:R371"/>
    <mergeCell ref="S371:T371"/>
    <mergeCell ref="U371:V372"/>
    <mergeCell ref="U348:V348"/>
    <mergeCell ref="U349:V349"/>
    <mergeCell ref="U350:V350"/>
    <mergeCell ref="U351:V351"/>
    <mergeCell ref="U352:V352"/>
    <mergeCell ref="U353:V353"/>
    <mergeCell ref="U354:V354"/>
    <mergeCell ref="U355:V355"/>
    <mergeCell ref="U356:V356"/>
    <mergeCell ref="U332:V332"/>
    <mergeCell ref="U333:V333"/>
    <mergeCell ref="U334:V334"/>
    <mergeCell ref="A346:B346"/>
    <mergeCell ref="C346:K346"/>
    <mergeCell ref="L346:M346"/>
    <mergeCell ref="O346:P346"/>
    <mergeCell ref="Q346:R346"/>
    <mergeCell ref="S346:T346"/>
    <mergeCell ref="U346:V347"/>
    <mergeCell ref="U323:V323"/>
    <mergeCell ref="U324:V324"/>
    <mergeCell ref="U325:V325"/>
    <mergeCell ref="U326:V326"/>
    <mergeCell ref="U327:V327"/>
    <mergeCell ref="U328:V328"/>
    <mergeCell ref="U329:V329"/>
    <mergeCell ref="U330:V330"/>
    <mergeCell ref="U331:V331"/>
    <mergeCell ref="U307:V307"/>
    <mergeCell ref="U308:V308"/>
    <mergeCell ref="U309:V309"/>
    <mergeCell ref="A321:B321"/>
    <mergeCell ref="C321:K321"/>
    <mergeCell ref="L321:M321"/>
    <mergeCell ref="O321:P321"/>
    <mergeCell ref="Q321:R321"/>
    <mergeCell ref="S321:T321"/>
    <mergeCell ref="U321:V322"/>
    <mergeCell ref="U298:V298"/>
    <mergeCell ref="U299:V299"/>
    <mergeCell ref="U300:V300"/>
    <mergeCell ref="U301:V301"/>
    <mergeCell ref="U302:V302"/>
    <mergeCell ref="U303:V303"/>
    <mergeCell ref="U304:V304"/>
    <mergeCell ref="U305:V305"/>
    <mergeCell ref="U306:V306"/>
    <mergeCell ref="U282:V282"/>
    <mergeCell ref="U283:V283"/>
    <mergeCell ref="U284:V284"/>
    <mergeCell ref="A296:B296"/>
    <mergeCell ref="C296:K296"/>
    <mergeCell ref="L296:M296"/>
    <mergeCell ref="O296:P296"/>
    <mergeCell ref="Q296:R296"/>
    <mergeCell ref="S296:T296"/>
    <mergeCell ref="U296:V297"/>
    <mergeCell ref="U273:V273"/>
    <mergeCell ref="U274:V274"/>
    <mergeCell ref="U275:V275"/>
    <mergeCell ref="U276:V276"/>
    <mergeCell ref="U277:V277"/>
    <mergeCell ref="U278:V278"/>
    <mergeCell ref="U279:V279"/>
    <mergeCell ref="U280:V280"/>
    <mergeCell ref="U281:V281"/>
    <mergeCell ref="U258:V258"/>
    <mergeCell ref="U259:V259"/>
    <mergeCell ref="A271:B271"/>
    <mergeCell ref="C271:K271"/>
    <mergeCell ref="L271:M271"/>
    <mergeCell ref="O271:P271"/>
    <mergeCell ref="Q271:R271"/>
    <mergeCell ref="S271:T271"/>
    <mergeCell ref="U271:V272"/>
    <mergeCell ref="U249:V249"/>
    <mergeCell ref="U250:V250"/>
    <mergeCell ref="U251:V251"/>
    <mergeCell ref="U252:V252"/>
    <mergeCell ref="U253:V253"/>
    <mergeCell ref="U254:V254"/>
    <mergeCell ref="U255:V255"/>
    <mergeCell ref="U256:V256"/>
    <mergeCell ref="U257:V257"/>
    <mergeCell ref="U234:V234"/>
    <mergeCell ref="A246:B246"/>
    <mergeCell ref="C246:K246"/>
    <mergeCell ref="L246:M246"/>
    <mergeCell ref="O246:P246"/>
    <mergeCell ref="Q246:R246"/>
    <mergeCell ref="S246:T246"/>
    <mergeCell ref="U246:V247"/>
    <mergeCell ref="U248:V248"/>
    <mergeCell ref="U225:V225"/>
    <mergeCell ref="U226:V226"/>
    <mergeCell ref="U227:V227"/>
    <mergeCell ref="U228:V228"/>
    <mergeCell ref="U229:V229"/>
    <mergeCell ref="U230:V230"/>
    <mergeCell ref="U231:V231"/>
    <mergeCell ref="U232:V232"/>
    <mergeCell ref="U233:V233"/>
    <mergeCell ref="A221:B221"/>
    <mergeCell ref="C221:K221"/>
    <mergeCell ref="L221:M221"/>
    <mergeCell ref="O221:P221"/>
    <mergeCell ref="Q221:R221"/>
    <mergeCell ref="S221:T221"/>
    <mergeCell ref="U221:V222"/>
    <mergeCell ref="U223:V223"/>
    <mergeCell ref="U224:V22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U153:V153"/>
    <mergeCell ref="U154:V154"/>
    <mergeCell ref="U155:V155"/>
    <mergeCell ref="U156:V156"/>
    <mergeCell ref="U157:V157"/>
    <mergeCell ref="U158:V158"/>
    <mergeCell ref="U146:V147"/>
    <mergeCell ref="U148:V148"/>
    <mergeCell ref="U149:V149"/>
    <mergeCell ref="U150:V150"/>
    <mergeCell ref="U151:V151"/>
    <mergeCell ref="U152:V15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U103:V103"/>
    <mergeCell ref="U104:V104"/>
    <mergeCell ref="U105:V105"/>
    <mergeCell ref="U106:V106"/>
    <mergeCell ref="U107:V107"/>
    <mergeCell ref="U108:V108"/>
    <mergeCell ref="Z97:AP97"/>
    <mergeCell ref="U98:V98"/>
    <mergeCell ref="U99:V99"/>
    <mergeCell ref="U100:V100"/>
    <mergeCell ref="U101:V101"/>
    <mergeCell ref="U102:V102"/>
    <mergeCell ref="U83:V83"/>
    <mergeCell ref="U84:V84"/>
    <mergeCell ref="A94:F94"/>
    <mergeCell ref="A96:B96"/>
    <mergeCell ref="C96:K96"/>
    <mergeCell ref="L96:M96"/>
    <mergeCell ref="O96:P96"/>
    <mergeCell ref="Q96:R96"/>
    <mergeCell ref="S96:T96"/>
    <mergeCell ref="U96:V97"/>
    <mergeCell ref="U77:V77"/>
    <mergeCell ref="U78:V78"/>
    <mergeCell ref="U79:V79"/>
    <mergeCell ref="U80:V80"/>
    <mergeCell ref="U81:V81"/>
    <mergeCell ref="U82:V82"/>
    <mergeCell ref="S71:T71"/>
    <mergeCell ref="U71:V72"/>
    <mergeCell ref="U73:V73"/>
    <mergeCell ref="U74:V74"/>
    <mergeCell ref="U75:V75"/>
    <mergeCell ref="U76:V76"/>
    <mergeCell ref="A69:F69"/>
    <mergeCell ref="A71:B71"/>
    <mergeCell ref="C71:K71"/>
    <mergeCell ref="L71:M71"/>
    <mergeCell ref="O71:P71"/>
    <mergeCell ref="Q71:R71"/>
    <mergeCell ref="U55:V55"/>
    <mergeCell ref="U56:V56"/>
    <mergeCell ref="U57:V57"/>
    <mergeCell ref="U58:V58"/>
    <mergeCell ref="U59:V59"/>
    <mergeCell ref="U60:V60"/>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U31:V31"/>
    <mergeCell ref="U32:V32"/>
    <mergeCell ref="U33:V33"/>
    <mergeCell ref="U22:V23"/>
    <mergeCell ref="Z22:AP22"/>
    <mergeCell ref="U24:V24"/>
    <mergeCell ref="U25:V25"/>
    <mergeCell ref="U26:V26"/>
    <mergeCell ref="U27:V27"/>
    <mergeCell ref="A22:B22"/>
    <mergeCell ref="C22:K22"/>
    <mergeCell ref="L22:M22"/>
    <mergeCell ref="O22:P22"/>
    <mergeCell ref="Q22:R22"/>
    <mergeCell ref="S22:T22"/>
    <mergeCell ref="U28:V28"/>
    <mergeCell ref="U29:V29"/>
    <mergeCell ref="U30:V30"/>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5"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3" r:id="rId6"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4" r:id="rId7"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8"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9"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0"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1"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129" r:id="rId12"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13"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14"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15"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16"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7"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8"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6" r:id="rId19"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37" r:id="rId20"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21"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22"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23"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24"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25"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26"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44" r:id="rId27"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452" r:id="rId28"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29"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30"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575" r:id="rId31"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616" r:id="rId32"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33"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657" r:id="rId34"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98" r:id="rId35"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780" r:id="rId36"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862" r:id="rId37"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38"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4" r:id="rId39"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40"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41"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42"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43"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44"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45"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46"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47"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48"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49"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50"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51"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52"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53"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54"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55"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56"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57"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58"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5173" r:id="rId59" name="Button 53">
              <controlPr defaultSize="0" print="0" autoFill="0" autoPict="0" macro="[0]!kopie4">
                <anchor moveWithCells="1" sizeWithCells="1">
                  <from>
                    <xdr:col>4</xdr:col>
                    <xdr:colOff>137160</xdr:colOff>
                    <xdr:row>93</xdr:row>
                    <xdr:rowOff>45720</xdr:rowOff>
                  </from>
                  <to>
                    <xdr:col>5</xdr:col>
                    <xdr:colOff>274320</xdr:colOff>
                    <xdr:row>93</xdr:row>
                    <xdr:rowOff>228600</xdr:rowOff>
                  </to>
                </anchor>
              </controlPr>
            </control>
          </mc:Choice>
        </mc:AlternateContent>
        <mc:AlternateContent xmlns:mc="http://schemas.openxmlformats.org/markup-compatibility/2006">
          <mc:Choice Requires="x14">
            <control shapeId="5174" r:id="rId60" name="Button 54">
              <controlPr defaultSize="0" print="0" autoFill="0" autoPict="0" macro="[0]!kopie5">
                <anchor moveWithCells="1" sizeWithCells="1">
                  <from>
                    <xdr:col>6</xdr:col>
                    <xdr:colOff>236220</xdr:colOff>
                    <xdr:row>93</xdr:row>
                    <xdr:rowOff>45720</xdr:rowOff>
                  </from>
                  <to>
                    <xdr:col>8</xdr:col>
                    <xdr:colOff>76200</xdr:colOff>
                    <xdr:row>93</xdr:row>
                    <xdr:rowOff>228600</xdr:rowOff>
                  </to>
                </anchor>
              </controlPr>
            </control>
          </mc:Choice>
        </mc:AlternateContent>
        <mc:AlternateContent xmlns:mc="http://schemas.openxmlformats.org/markup-compatibility/2006">
          <mc:Choice Requires="x14">
            <control shapeId="5175" r:id="rId61" name="Button 55">
              <controlPr defaultSize="0" print="0" autoFill="0" autoPict="0" macro="[0]!kopie6">
                <anchor moveWithCells="1" sizeWithCells="1">
                  <from>
                    <xdr:col>9</xdr:col>
                    <xdr:colOff>53340</xdr:colOff>
                    <xdr:row>93</xdr:row>
                    <xdr:rowOff>45720</xdr:rowOff>
                  </from>
                  <to>
                    <xdr:col>10</xdr:col>
                    <xdr:colOff>190500</xdr:colOff>
                    <xdr:row>93</xdr:row>
                    <xdr:rowOff>228600</xdr:rowOff>
                  </to>
                </anchor>
              </controlPr>
            </control>
          </mc:Choice>
        </mc:AlternateContent>
        <mc:AlternateContent xmlns:mc="http://schemas.openxmlformats.org/markup-compatibility/2006">
          <mc:Choice Requires="x14">
            <control shapeId="5176" r:id="rId62" name="Button 56">
              <controlPr defaultSize="0" print="0" autoFill="0" autoPict="0" macro="[0]!kopie7">
                <anchor moveWithCells="1" sizeWithCells="1">
                  <from>
                    <xdr:col>11</xdr:col>
                    <xdr:colOff>137160</xdr:colOff>
                    <xdr:row>93</xdr:row>
                    <xdr:rowOff>45720</xdr:rowOff>
                  </from>
                  <to>
                    <xdr:col>12</xdr:col>
                    <xdr:colOff>281940</xdr:colOff>
                    <xdr:row>93</xdr:row>
                    <xdr:rowOff>228600</xdr:rowOff>
                  </to>
                </anchor>
              </controlPr>
            </control>
          </mc:Choice>
        </mc:AlternateContent>
        <mc:AlternateContent xmlns:mc="http://schemas.openxmlformats.org/markup-compatibility/2006">
          <mc:Choice Requires="x14">
            <control shapeId="5177" r:id="rId63" name="Button 57">
              <controlPr defaultSize="0" print="0" autoFill="0" autoPict="0" macro="[0]!kopie8">
                <anchor moveWithCells="1" sizeWithCells="1">
                  <from>
                    <xdr:col>14</xdr:col>
                    <xdr:colOff>22860</xdr:colOff>
                    <xdr:row>93</xdr:row>
                    <xdr:rowOff>45720</xdr:rowOff>
                  </from>
                  <to>
                    <xdr:col>15</xdr:col>
                    <xdr:colOff>38100</xdr:colOff>
                    <xdr:row>93</xdr:row>
                    <xdr:rowOff>228600</xdr:rowOff>
                  </to>
                </anchor>
              </controlPr>
            </control>
          </mc:Choice>
        </mc:AlternateContent>
        <mc:AlternateContent xmlns:mc="http://schemas.openxmlformats.org/markup-compatibility/2006">
          <mc:Choice Requires="x14">
            <control shapeId="5178" r:id="rId64" name="Button 58">
              <controlPr defaultSize="0" print="0" autoFill="0" autoPict="0" macro="[0]!kopie9">
                <anchor moveWithCells="1" sizeWithCells="1">
                  <from>
                    <xdr:col>15</xdr:col>
                    <xdr:colOff>350520</xdr:colOff>
                    <xdr:row>93</xdr:row>
                    <xdr:rowOff>45720</xdr:rowOff>
                  </from>
                  <to>
                    <xdr:col>16</xdr:col>
                    <xdr:colOff>365760</xdr:colOff>
                    <xdr:row>93</xdr:row>
                    <xdr:rowOff>228600</xdr:rowOff>
                  </to>
                </anchor>
              </controlPr>
            </control>
          </mc:Choice>
        </mc:AlternateContent>
        <mc:AlternateContent xmlns:mc="http://schemas.openxmlformats.org/markup-compatibility/2006">
          <mc:Choice Requires="x14">
            <control shapeId="5179" r:id="rId65" name="Button 59">
              <controlPr defaultSize="0" print="0" autoFill="0" autoPict="0" macro="[0]!kopie10">
                <anchor moveWithCells="1" sizeWithCells="1">
                  <from>
                    <xdr:col>17</xdr:col>
                    <xdr:colOff>160020</xdr:colOff>
                    <xdr:row>93</xdr:row>
                    <xdr:rowOff>45720</xdr:rowOff>
                  </from>
                  <to>
                    <xdr:col>18</xdr:col>
                    <xdr:colOff>175260</xdr:colOff>
                    <xdr:row>93</xdr:row>
                    <xdr:rowOff>228600</xdr:rowOff>
                  </to>
                </anchor>
              </controlPr>
            </control>
          </mc:Choice>
        </mc:AlternateContent>
        <mc:AlternateContent xmlns:mc="http://schemas.openxmlformats.org/markup-compatibility/2006">
          <mc:Choice Requires="x14">
            <control shapeId="5180" r:id="rId66" name="Button 60">
              <controlPr defaultSize="0" print="0" autoFill="0" autoPict="0" macro="[0]!kopie11">
                <anchor moveWithCells="1" sizeWithCells="1">
                  <from>
                    <xdr:col>18</xdr:col>
                    <xdr:colOff>403860</xdr:colOff>
                    <xdr:row>93</xdr:row>
                    <xdr:rowOff>45720</xdr:rowOff>
                  </from>
                  <to>
                    <xdr:col>20</xdr:col>
                    <xdr:colOff>7620</xdr:colOff>
                    <xdr:row>93</xdr:row>
                    <xdr:rowOff>228600</xdr:rowOff>
                  </to>
                </anchor>
              </controlPr>
            </control>
          </mc:Choice>
        </mc:AlternateContent>
        <mc:AlternateContent xmlns:mc="http://schemas.openxmlformats.org/markup-compatibility/2006">
          <mc:Choice Requires="x14">
            <control shapeId="5181" r:id="rId67" name="Button 61">
              <controlPr defaultSize="0" print="0" autoFill="0" autoPict="0" macro="[0]!kopie12">
                <anchor moveWithCells="1" sizeWithCells="1">
                  <from>
                    <xdr:col>20</xdr:col>
                    <xdr:colOff>220980</xdr:colOff>
                    <xdr:row>93</xdr:row>
                    <xdr:rowOff>45720</xdr:rowOff>
                  </from>
                  <to>
                    <xdr:col>21</xdr:col>
                    <xdr:colOff>236220</xdr:colOff>
                    <xdr:row>93</xdr:row>
                    <xdr:rowOff>228600</xdr:rowOff>
                  </to>
                </anchor>
              </controlPr>
            </control>
          </mc:Choice>
        </mc:AlternateContent>
        <mc:AlternateContent xmlns:mc="http://schemas.openxmlformats.org/markup-compatibility/2006">
          <mc:Choice Requires="x14">
            <control shapeId="5200" r:id="rId68" name="Button 80">
              <controlPr defaultSize="0" print="0" autoFill="0" autoPict="0" macro="[0]!kopie4">
                <anchor moveWithCells="1" sizeWithCells="1">
                  <from>
                    <xdr:col>3</xdr:col>
                    <xdr:colOff>83820</xdr:colOff>
                    <xdr:row>118</xdr:row>
                    <xdr:rowOff>76200</xdr:rowOff>
                  </from>
                  <to>
                    <xdr:col>4</xdr:col>
                    <xdr:colOff>175260</xdr:colOff>
                    <xdr:row>118</xdr:row>
                    <xdr:rowOff>259080</xdr:rowOff>
                  </to>
                </anchor>
              </controlPr>
            </control>
          </mc:Choice>
        </mc:AlternateContent>
        <mc:AlternateContent xmlns:mc="http://schemas.openxmlformats.org/markup-compatibility/2006">
          <mc:Choice Requires="x14">
            <control shapeId="5201" r:id="rId69" name="Button 81">
              <controlPr defaultSize="0" print="0" autoFill="0" autoPict="0" macro="[0]!kopie5">
                <anchor moveWithCells="1" sizeWithCells="1">
                  <from>
                    <xdr:col>5</xdr:col>
                    <xdr:colOff>137160</xdr:colOff>
                    <xdr:row>118</xdr:row>
                    <xdr:rowOff>76200</xdr:rowOff>
                  </from>
                  <to>
                    <xdr:col>6</xdr:col>
                    <xdr:colOff>274320</xdr:colOff>
                    <xdr:row>118</xdr:row>
                    <xdr:rowOff>259080</xdr:rowOff>
                  </to>
                </anchor>
              </controlPr>
            </control>
          </mc:Choice>
        </mc:AlternateContent>
        <mc:AlternateContent xmlns:mc="http://schemas.openxmlformats.org/markup-compatibility/2006">
          <mc:Choice Requires="x14">
            <control shapeId="5202" r:id="rId70" name="Button 82">
              <controlPr defaultSize="0" print="0" autoFill="0" autoPict="0" macro="[0]!kopie6">
                <anchor moveWithCells="1" sizeWithCells="1">
                  <from>
                    <xdr:col>7</xdr:col>
                    <xdr:colOff>251460</xdr:colOff>
                    <xdr:row>118</xdr:row>
                    <xdr:rowOff>76200</xdr:rowOff>
                  </from>
                  <to>
                    <xdr:col>9</xdr:col>
                    <xdr:colOff>91440</xdr:colOff>
                    <xdr:row>118</xdr:row>
                    <xdr:rowOff>259080</xdr:rowOff>
                  </to>
                </anchor>
              </controlPr>
            </control>
          </mc:Choice>
        </mc:AlternateContent>
        <mc:AlternateContent xmlns:mc="http://schemas.openxmlformats.org/markup-compatibility/2006">
          <mc:Choice Requires="x14">
            <control shapeId="5203" r:id="rId71" name="Button 83">
              <controlPr defaultSize="0" print="0" autoFill="0" autoPict="0" macro="[0]!kopie7">
                <anchor moveWithCells="1" sizeWithCells="1">
                  <from>
                    <xdr:col>10</xdr:col>
                    <xdr:colOff>38100</xdr:colOff>
                    <xdr:row>118</xdr:row>
                    <xdr:rowOff>76200</xdr:rowOff>
                  </from>
                  <to>
                    <xdr:col>11</xdr:col>
                    <xdr:colOff>182880</xdr:colOff>
                    <xdr:row>118</xdr:row>
                    <xdr:rowOff>259080</xdr:rowOff>
                  </to>
                </anchor>
              </controlPr>
            </control>
          </mc:Choice>
        </mc:AlternateContent>
        <mc:AlternateContent xmlns:mc="http://schemas.openxmlformats.org/markup-compatibility/2006">
          <mc:Choice Requires="x14">
            <control shapeId="5204" r:id="rId72" name="Button 84">
              <controlPr defaultSize="0" print="0" autoFill="0" autoPict="0" macro="[0]!kopie8">
                <anchor moveWithCells="1" sizeWithCells="1">
                  <from>
                    <xdr:col>12</xdr:col>
                    <xdr:colOff>220980</xdr:colOff>
                    <xdr:row>118</xdr:row>
                    <xdr:rowOff>76200</xdr:rowOff>
                  </from>
                  <to>
                    <xdr:col>14</xdr:col>
                    <xdr:colOff>60960</xdr:colOff>
                    <xdr:row>118</xdr:row>
                    <xdr:rowOff>259080</xdr:rowOff>
                  </to>
                </anchor>
              </controlPr>
            </control>
          </mc:Choice>
        </mc:AlternateContent>
        <mc:AlternateContent xmlns:mc="http://schemas.openxmlformats.org/markup-compatibility/2006">
          <mc:Choice Requires="x14">
            <control shapeId="5205" r:id="rId73" name="Button 85">
              <controlPr defaultSize="0" print="0" autoFill="0" autoPict="0" macro="[0]!kopie9">
                <anchor moveWithCells="1" sizeWithCells="1">
                  <from>
                    <xdr:col>14</xdr:col>
                    <xdr:colOff>373380</xdr:colOff>
                    <xdr:row>118</xdr:row>
                    <xdr:rowOff>76200</xdr:rowOff>
                  </from>
                  <to>
                    <xdr:col>15</xdr:col>
                    <xdr:colOff>388620</xdr:colOff>
                    <xdr:row>118</xdr:row>
                    <xdr:rowOff>259080</xdr:rowOff>
                  </to>
                </anchor>
              </controlPr>
            </control>
          </mc:Choice>
        </mc:AlternateContent>
        <mc:AlternateContent xmlns:mc="http://schemas.openxmlformats.org/markup-compatibility/2006">
          <mc:Choice Requires="x14">
            <control shapeId="5206" r:id="rId74" name="Button 86">
              <controlPr defaultSize="0" print="0" autoFill="0" autoPict="0" macro="[0]!kopie10">
                <anchor moveWithCells="1" sizeWithCells="1">
                  <from>
                    <xdr:col>16</xdr:col>
                    <xdr:colOff>182880</xdr:colOff>
                    <xdr:row>118</xdr:row>
                    <xdr:rowOff>76200</xdr:rowOff>
                  </from>
                  <to>
                    <xdr:col>17</xdr:col>
                    <xdr:colOff>198120</xdr:colOff>
                    <xdr:row>118</xdr:row>
                    <xdr:rowOff>259080</xdr:rowOff>
                  </to>
                </anchor>
              </controlPr>
            </control>
          </mc:Choice>
        </mc:AlternateContent>
        <mc:AlternateContent xmlns:mc="http://schemas.openxmlformats.org/markup-compatibility/2006">
          <mc:Choice Requires="x14">
            <control shapeId="5207" r:id="rId75" name="Button 87">
              <controlPr defaultSize="0" print="0" autoFill="0" autoPict="0" macro="[0]!kopie11">
                <anchor moveWithCells="1" sizeWithCells="1">
                  <from>
                    <xdr:col>18</xdr:col>
                    <xdr:colOff>7620</xdr:colOff>
                    <xdr:row>118</xdr:row>
                    <xdr:rowOff>76200</xdr:rowOff>
                  </from>
                  <to>
                    <xdr:col>19</xdr:col>
                    <xdr:colOff>30480</xdr:colOff>
                    <xdr:row>118</xdr:row>
                    <xdr:rowOff>259080</xdr:rowOff>
                  </to>
                </anchor>
              </controlPr>
            </control>
          </mc:Choice>
        </mc:AlternateContent>
        <mc:AlternateContent xmlns:mc="http://schemas.openxmlformats.org/markup-compatibility/2006">
          <mc:Choice Requires="x14">
            <control shapeId="5208" r:id="rId76" name="Button 88">
              <controlPr defaultSize="0" print="0" autoFill="0" autoPict="0" macro="[0]!kopie12">
                <anchor moveWithCells="1" sizeWithCells="1">
                  <from>
                    <xdr:col>19</xdr:col>
                    <xdr:colOff>243840</xdr:colOff>
                    <xdr:row>118</xdr:row>
                    <xdr:rowOff>76200</xdr:rowOff>
                  </from>
                  <to>
                    <xdr:col>20</xdr:col>
                    <xdr:colOff>259080</xdr:colOff>
                    <xdr:row>118</xdr:row>
                    <xdr:rowOff>259080</xdr:rowOff>
                  </to>
                </anchor>
              </controlPr>
            </control>
          </mc:Choice>
        </mc:AlternateContent>
        <mc:AlternateContent xmlns:mc="http://schemas.openxmlformats.org/markup-compatibility/2006">
          <mc:Choice Requires="x14">
            <control shapeId="5209" r:id="rId77" name="Button 89">
              <controlPr defaultSize="0" print="0" autoFill="0" autoPict="0" macro="[0]!kopie4">
                <anchor moveWithCells="1" sizeWithCells="1">
                  <from>
                    <xdr:col>3</xdr:col>
                    <xdr:colOff>129540</xdr:colOff>
                    <xdr:row>143</xdr:row>
                    <xdr:rowOff>60960</xdr:rowOff>
                  </from>
                  <to>
                    <xdr:col>4</xdr:col>
                    <xdr:colOff>220980</xdr:colOff>
                    <xdr:row>143</xdr:row>
                    <xdr:rowOff>251460</xdr:rowOff>
                  </to>
                </anchor>
              </controlPr>
            </control>
          </mc:Choice>
        </mc:AlternateContent>
        <mc:AlternateContent xmlns:mc="http://schemas.openxmlformats.org/markup-compatibility/2006">
          <mc:Choice Requires="x14">
            <control shapeId="5210" r:id="rId78" name="Button 90">
              <controlPr defaultSize="0" print="0" autoFill="0" autoPict="0" macro="[0]!kopie5">
                <anchor moveWithCells="1" sizeWithCells="1">
                  <from>
                    <xdr:col>5</xdr:col>
                    <xdr:colOff>182880</xdr:colOff>
                    <xdr:row>143</xdr:row>
                    <xdr:rowOff>60960</xdr:rowOff>
                  </from>
                  <to>
                    <xdr:col>7</xdr:col>
                    <xdr:colOff>22860</xdr:colOff>
                    <xdr:row>143</xdr:row>
                    <xdr:rowOff>251460</xdr:rowOff>
                  </to>
                </anchor>
              </controlPr>
            </control>
          </mc:Choice>
        </mc:AlternateContent>
        <mc:AlternateContent xmlns:mc="http://schemas.openxmlformats.org/markup-compatibility/2006">
          <mc:Choice Requires="x14">
            <control shapeId="5211" r:id="rId79" name="Button 91">
              <controlPr defaultSize="0" print="0" autoFill="0" autoPict="0" macro="[0]!kopie6">
                <anchor moveWithCells="1" sizeWithCells="1">
                  <from>
                    <xdr:col>8</xdr:col>
                    <xdr:colOff>0</xdr:colOff>
                    <xdr:row>143</xdr:row>
                    <xdr:rowOff>60960</xdr:rowOff>
                  </from>
                  <to>
                    <xdr:col>9</xdr:col>
                    <xdr:colOff>137160</xdr:colOff>
                    <xdr:row>143</xdr:row>
                    <xdr:rowOff>251460</xdr:rowOff>
                  </to>
                </anchor>
              </controlPr>
            </control>
          </mc:Choice>
        </mc:AlternateContent>
        <mc:AlternateContent xmlns:mc="http://schemas.openxmlformats.org/markup-compatibility/2006">
          <mc:Choice Requires="x14">
            <control shapeId="5212" r:id="rId80" name="Button 92">
              <controlPr defaultSize="0" print="0" autoFill="0" autoPict="0" macro="[0]!kopie7">
                <anchor moveWithCells="1" sizeWithCells="1">
                  <from>
                    <xdr:col>10</xdr:col>
                    <xdr:colOff>83820</xdr:colOff>
                    <xdr:row>143</xdr:row>
                    <xdr:rowOff>60960</xdr:rowOff>
                  </from>
                  <to>
                    <xdr:col>11</xdr:col>
                    <xdr:colOff>228600</xdr:colOff>
                    <xdr:row>143</xdr:row>
                    <xdr:rowOff>251460</xdr:rowOff>
                  </to>
                </anchor>
              </controlPr>
            </control>
          </mc:Choice>
        </mc:AlternateContent>
        <mc:AlternateContent xmlns:mc="http://schemas.openxmlformats.org/markup-compatibility/2006">
          <mc:Choice Requires="x14">
            <control shapeId="5213" r:id="rId81" name="Button 93">
              <controlPr defaultSize="0" print="0" autoFill="0" autoPict="0" macro="[0]!kopie8">
                <anchor moveWithCells="1" sizeWithCells="1">
                  <from>
                    <xdr:col>12</xdr:col>
                    <xdr:colOff>266700</xdr:colOff>
                    <xdr:row>143</xdr:row>
                    <xdr:rowOff>60960</xdr:rowOff>
                  </from>
                  <to>
                    <xdr:col>14</xdr:col>
                    <xdr:colOff>106680</xdr:colOff>
                    <xdr:row>143</xdr:row>
                    <xdr:rowOff>251460</xdr:rowOff>
                  </to>
                </anchor>
              </controlPr>
            </control>
          </mc:Choice>
        </mc:AlternateContent>
        <mc:AlternateContent xmlns:mc="http://schemas.openxmlformats.org/markup-compatibility/2006">
          <mc:Choice Requires="x14">
            <control shapeId="5214" r:id="rId82" name="Button 94">
              <controlPr defaultSize="0" print="0" autoFill="0" autoPict="0" macro="[0]!kopie9">
                <anchor moveWithCells="1" sizeWithCells="1">
                  <from>
                    <xdr:col>15</xdr:col>
                    <xdr:colOff>0</xdr:colOff>
                    <xdr:row>143</xdr:row>
                    <xdr:rowOff>60960</xdr:rowOff>
                  </from>
                  <to>
                    <xdr:col>16</xdr:col>
                    <xdr:colOff>15240</xdr:colOff>
                    <xdr:row>143</xdr:row>
                    <xdr:rowOff>251460</xdr:rowOff>
                  </to>
                </anchor>
              </controlPr>
            </control>
          </mc:Choice>
        </mc:AlternateContent>
        <mc:AlternateContent xmlns:mc="http://schemas.openxmlformats.org/markup-compatibility/2006">
          <mc:Choice Requires="x14">
            <control shapeId="5215" r:id="rId83" name="Button 95">
              <controlPr defaultSize="0" print="0" autoFill="0" autoPict="0" macro="[0]!kopie10">
                <anchor moveWithCells="1" sizeWithCells="1">
                  <from>
                    <xdr:col>16</xdr:col>
                    <xdr:colOff>228600</xdr:colOff>
                    <xdr:row>143</xdr:row>
                    <xdr:rowOff>60960</xdr:rowOff>
                  </from>
                  <to>
                    <xdr:col>17</xdr:col>
                    <xdr:colOff>243840</xdr:colOff>
                    <xdr:row>143</xdr:row>
                    <xdr:rowOff>251460</xdr:rowOff>
                  </to>
                </anchor>
              </controlPr>
            </control>
          </mc:Choice>
        </mc:AlternateContent>
        <mc:AlternateContent xmlns:mc="http://schemas.openxmlformats.org/markup-compatibility/2006">
          <mc:Choice Requires="x14">
            <control shapeId="5216" r:id="rId84" name="Button 96">
              <controlPr defaultSize="0" print="0" autoFill="0" autoPict="0" macro="[0]!kopie11">
                <anchor moveWithCells="1" sizeWithCells="1">
                  <from>
                    <xdr:col>18</xdr:col>
                    <xdr:colOff>53340</xdr:colOff>
                    <xdr:row>143</xdr:row>
                    <xdr:rowOff>60960</xdr:rowOff>
                  </from>
                  <to>
                    <xdr:col>19</xdr:col>
                    <xdr:colOff>76200</xdr:colOff>
                    <xdr:row>143</xdr:row>
                    <xdr:rowOff>251460</xdr:rowOff>
                  </to>
                </anchor>
              </controlPr>
            </control>
          </mc:Choice>
        </mc:AlternateContent>
        <mc:AlternateContent xmlns:mc="http://schemas.openxmlformats.org/markup-compatibility/2006">
          <mc:Choice Requires="x14">
            <control shapeId="5217" r:id="rId85" name="Button 97">
              <controlPr defaultSize="0" print="0" autoFill="0" autoPict="0" macro="[0]!kopie12">
                <anchor moveWithCells="1" sizeWithCells="1">
                  <from>
                    <xdr:col>19</xdr:col>
                    <xdr:colOff>289560</xdr:colOff>
                    <xdr:row>143</xdr:row>
                    <xdr:rowOff>60960</xdr:rowOff>
                  </from>
                  <to>
                    <xdr:col>20</xdr:col>
                    <xdr:colOff>304800</xdr:colOff>
                    <xdr:row>143</xdr:row>
                    <xdr:rowOff>251460</xdr:rowOff>
                  </to>
                </anchor>
              </controlPr>
            </control>
          </mc:Choice>
        </mc:AlternateContent>
        <mc:AlternateContent xmlns:mc="http://schemas.openxmlformats.org/markup-compatibility/2006">
          <mc:Choice Requires="x14">
            <control shapeId="5218" r:id="rId86" name="Button 98">
              <controlPr defaultSize="0" print="0" autoFill="0" autoPict="0" macro="[0]!kopie4">
                <anchor moveWithCells="1" sizeWithCells="1">
                  <from>
                    <xdr:col>3</xdr:col>
                    <xdr:colOff>38100</xdr:colOff>
                    <xdr:row>168</xdr:row>
                    <xdr:rowOff>83820</xdr:rowOff>
                  </from>
                  <to>
                    <xdr:col>4</xdr:col>
                    <xdr:colOff>129540</xdr:colOff>
                    <xdr:row>168</xdr:row>
                    <xdr:rowOff>274320</xdr:rowOff>
                  </to>
                </anchor>
              </controlPr>
            </control>
          </mc:Choice>
        </mc:AlternateContent>
        <mc:AlternateContent xmlns:mc="http://schemas.openxmlformats.org/markup-compatibility/2006">
          <mc:Choice Requires="x14">
            <control shapeId="5219" r:id="rId87" name="Button 99">
              <controlPr defaultSize="0" print="0" autoFill="0" autoPict="0" macro="[0]!kopie5">
                <anchor moveWithCells="1" sizeWithCells="1">
                  <from>
                    <xdr:col>5</xdr:col>
                    <xdr:colOff>91440</xdr:colOff>
                    <xdr:row>168</xdr:row>
                    <xdr:rowOff>83820</xdr:rowOff>
                  </from>
                  <to>
                    <xdr:col>6</xdr:col>
                    <xdr:colOff>228600</xdr:colOff>
                    <xdr:row>168</xdr:row>
                    <xdr:rowOff>274320</xdr:rowOff>
                  </to>
                </anchor>
              </controlPr>
            </control>
          </mc:Choice>
        </mc:AlternateContent>
        <mc:AlternateContent xmlns:mc="http://schemas.openxmlformats.org/markup-compatibility/2006">
          <mc:Choice Requires="x14">
            <control shapeId="5220" r:id="rId88" name="Button 100">
              <controlPr defaultSize="0" print="0" autoFill="0" autoPict="0" macro="[0]!kopie6">
                <anchor moveWithCells="1" sizeWithCells="1">
                  <from>
                    <xdr:col>7</xdr:col>
                    <xdr:colOff>205740</xdr:colOff>
                    <xdr:row>168</xdr:row>
                    <xdr:rowOff>83820</xdr:rowOff>
                  </from>
                  <to>
                    <xdr:col>9</xdr:col>
                    <xdr:colOff>45720</xdr:colOff>
                    <xdr:row>168</xdr:row>
                    <xdr:rowOff>274320</xdr:rowOff>
                  </to>
                </anchor>
              </controlPr>
            </control>
          </mc:Choice>
        </mc:AlternateContent>
        <mc:AlternateContent xmlns:mc="http://schemas.openxmlformats.org/markup-compatibility/2006">
          <mc:Choice Requires="x14">
            <control shapeId="5221" r:id="rId89" name="Button 101">
              <controlPr defaultSize="0" print="0" autoFill="0" autoPict="0" macro="[0]!kopie7">
                <anchor moveWithCells="1" sizeWithCells="1">
                  <from>
                    <xdr:col>9</xdr:col>
                    <xdr:colOff>289560</xdr:colOff>
                    <xdr:row>168</xdr:row>
                    <xdr:rowOff>83820</xdr:rowOff>
                  </from>
                  <to>
                    <xdr:col>11</xdr:col>
                    <xdr:colOff>137160</xdr:colOff>
                    <xdr:row>168</xdr:row>
                    <xdr:rowOff>274320</xdr:rowOff>
                  </to>
                </anchor>
              </controlPr>
            </control>
          </mc:Choice>
        </mc:AlternateContent>
        <mc:AlternateContent xmlns:mc="http://schemas.openxmlformats.org/markup-compatibility/2006">
          <mc:Choice Requires="x14">
            <control shapeId="5222" r:id="rId90" name="Button 102">
              <controlPr defaultSize="0" print="0" autoFill="0" autoPict="0" macro="[0]!kopie8">
                <anchor moveWithCells="1" sizeWithCells="1">
                  <from>
                    <xdr:col>12</xdr:col>
                    <xdr:colOff>175260</xdr:colOff>
                    <xdr:row>168</xdr:row>
                    <xdr:rowOff>83820</xdr:rowOff>
                  </from>
                  <to>
                    <xdr:col>14</xdr:col>
                    <xdr:colOff>15240</xdr:colOff>
                    <xdr:row>168</xdr:row>
                    <xdr:rowOff>274320</xdr:rowOff>
                  </to>
                </anchor>
              </controlPr>
            </control>
          </mc:Choice>
        </mc:AlternateContent>
        <mc:AlternateContent xmlns:mc="http://schemas.openxmlformats.org/markup-compatibility/2006">
          <mc:Choice Requires="x14">
            <control shapeId="5223" r:id="rId91" name="Button 103">
              <controlPr defaultSize="0" print="0" autoFill="0" autoPict="0" macro="[0]!kopie9">
                <anchor moveWithCells="1" sizeWithCells="1">
                  <from>
                    <xdr:col>14</xdr:col>
                    <xdr:colOff>327660</xdr:colOff>
                    <xdr:row>168</xdr:row>
                    <xdr:rowOff>83820</xdr:rowOff>
                  </from>
                  <to>
                    <xdr:col>15</xdr:col>
                    <xdr:colOff>342900</xdr:colOff>
                    <xdr:row>168</xdr:row>
                    <xdr:rowOff>274320</xdr:rowOff>
                  </to>
                </anchor>
              </controlPr>
            </control>
          </mc:Choice>
        </mc:AlternateContent>
        <mc:AlternateContent xmlns:mc="http://schemas.openxmlformats.org/markup-compatibility/2006">
          <mc:Choice Requires="x14">
            <control shapeId="5224" r:id="rId92" name="Button 104">
              <controlPr defaultSize="0" print="0" autoFill="0" autoPict="0" macro="[0]!kopie10">
                <anchor moveWithCells="1" sizeWithCells="1">
                  <from>
                    <xdr:col>16</xdr:col>
                    <xdr:colOff>137160</xdr:colOff>
                    <xdr:row>168</xdr:row>
                    <xdr:rowOff>83820</xdr:rowOff>
                  </from>
                  <to>
                    <xdr:col>17</xdr:col>
                    <xdr:colOff>152400</xdr:colOff>
                    <xdr:row>168</xdr:row>
                    <xdr:rowOff>274320</xdr:rowOff>
                  </to>
                </anchor>
              </controlPr>
            </control>
          </mc:Choice>
        </mc:AlternateContent>
        <mc:AlternateContent xmlns:mc="http://schemas.openxmlformats.org/markup-compatibility/2006">
          <mc:Choice Requires="x14">
            <control shapeId="5225" r:id="rId93" name="Button 105">
              <controlPr defaultSize="0" print="0" autoFill="0" autoPict="0" macro="[0]!kopie11">
                <anchor moveWithCells="1" sizeWithCells="1">
                  <from>
                    <xdr:col>17</xdr:col>
                    <xdr:colOff>381000</xdr:colOff>
                    <xdr:row>168</xdr:row>
                    <xdr:rowOff>83820</xdr:rowOff>
                  </from>
                  <to>
                    <xdr:col>18</xdr:col>
                    <xdr:colOff>403860</xdr:colOff>
                    <xdr:row>168</xdr:row>
                    <xdr:rowOff>274320</xdr:rowOff>
                  </to>
                </anchor>
              </controlPr>
            </control>
          </mc:Choice>
        </mc:AlternateContent>
        <mc:AlternateContent xmlns:mc="http://schemas.openxmlformats.org/markup-compatibility/2006">
          <mc:Choice Requires="x14">
            <control shapeId="5226" r:id="rId94" name="Button 106">
              <controlPr defaultSize="0" print="0" autoFill="0" autoPict="0" macro="[0]!kopie12">
                <anchor moveWithCells="1" sizeWithCells="1">
                  <from>
                    <xdr:col>19</xdr:col>
                    <xdr:colOff>198120</xdr:colOff>
                    <xdr:row>168</xdr:row>
                    <xdr:rowOff>83820</xdr:rowOff>
                  </from>
                  <to>
                    <xdr:col>20</xdr:col>
                    <xdr:colOff>213360</xdr:colOff>
                    <xdr:row>168</xdr:row>
                    <xdr:rowOff>274320</xdr:rowOff>
                  </to>
                </anchor>
              </controlPr>
            </control>
          </mc:Choice>
        </mc:AlternateContent>
        <mc:AlternateContent xmlns:mc="http://schemas.openxmlformats.org/markup-compatibility/2006">
          <mc:Choice Requires="x14">
            <control shapeId="5227" r:id="rId95" name="Button 107">
              <controlPr defaultSize="0" print="0" autoFill="0" autoPict="0" macro="[0]!kopie4">
                <anchor moveWithCells="1" sizeWithCells="1">
                  <from>
                    <xdr:col>2</xdr:col>
                    <xdr:colOff>289560</xdr:colOff>
                    <xdr:row>193</xdr:row>
                    <xdr:rowOff>30480</xdr:rowOff>
                  </from>
                  <to>
                    <xdr:col>4</xdr:col>
                    <xdr:colOff>38100</xdr:colOff>
                    <xdr:row>193</xdr:row>
                    <xdr:rowOff>213360</xdr:rowOff>
                  </to>
                </anchor>
              </controlPr>
            </control>
          </mc:Choice>
        </mc:AlternateContent>
        <mc:AlternateContent xmlns:mc="http://schemas.openxmlformats.org/markup-compatibility/2006">
          <mc:Choice Requires="x14">
            <control shapeId="5228" r:id="rId96" name="Button 108">
              <controlPr defaultSize="0" print="0" autoFill="0" autoPict="0" macro="[0]!kopie5">
                <anchor moveWithCells="1" sizeWithCells="1">
                  <from>
                    <xdr:col>5</xdr:col>
                    <xdr:colOff>0</xdr:colOff>
                    <xdr:row>193</xdr:row>
                    <xdr:rowOff>30480</xdr:rowOff>
                  </from>
                  <to>
                    <xdr:col>6</xdr:col>
                    <xdr:colOff>137160</xdr:colOff>
                    <xdr:row>193</xdr:row>
                    <xdr:rowOff>213360</xdr:rowOff>
                  </to>
                </anchor>
              </controlPr>
            </control>
          </mc:Choice>
        </mc:AlternateContent>
        <mc:AlternateContent xmlns:mc="http://schemas.openxmlformats.org/markup-compatibility/2006">
          <mc:Choice Requires="x14">
            <control shapeId="5229" r:id="rId97" name="Button 109">
              <controlPr defaultSize="0" print="0" autoFill="0" autoPict="0" macro="[0]!kopie6">
                <anchor moveWithCells="1" sizeWithCells="1">
                  <from>
                    <xdr:col>7</xdr:col>
                    <xdr:colOff>114300</xdr:colOff>
                    <xdr:row>193</xdr:row>
                    <xdr:rowOff>30480</xdr:rowOff>
                  </from>
                  <to>
                    <xdr:col>8</xdr:col>
                    <xdr:colOff>251460</xdr:colOff>
                    <xdr:row>193</xdr:row>
                    <xdr:rowOff>213360</xdr:rowOff>
                  </to>
                </anchor>
              </controlPr>
            </control>
          </mc:Choice>
        </mc:AlternateContent>
        <mc:AlternateContent xmlns:mc="http://schemas.openxmlformats.org/markup-compatibility/2006">
          <mc:Choice Requires="x14">
            <control shapeId="5230" r:id="rId98" name="Button 110">
              <controlPr defaultSize="0" print="0" autoFill="0" autoPict="0" macro="[0]!kopie7">
                <anchor moveWithCells="1" sizeWithCells="1">
                  <from>
                    <xdr:col>9</xdr:col>
                    <xdr:colOff>198120</xdr:colOff>
                    <xdr:row>193</xdr:row>
                    <xdr:rowOff>30480</xdr:rowOff>
                  </from>
                  <to>
                    <xdr:col>11</xdr:col>
                    <xdr:colOff>45720</xdr:colOff>
                    <xdr:row>193</xdr:row>
                    <xdr:rowOff>213360</xdr:rowOff>
                  </to>
                </anchor>
              </controlPr>
            </control>
          </mc:Choice>
        </mc:AlternateContent>
        <mc:AlternateContent xmlns:mc="http://schemas.openxmlformats.org/markup-compatibility/2006">
          <mc:Choice Requires="x14">
            <control shapeId="5231" r:id="rId99" name="Button 111">
              <controlPr defaultSize="0" print="0" autoFill="0" autoPict="0" macro="[0]!kopie8">
                <anchor moveWithCells="1" sizeWithCells="1">
                  <from>
                    <xdr:col>12</xdr:col>
                    <xdr:colOff>83820</xdr:colOff>
                    <xdr:row>193</xdr:row>
                    <xdr:rowOff>30480</xdr:rowOff>
                  </from>
                  <to>
                    <xdr:col>13</xdr:col>
                    <xdr:colOff>220980</xdr:colOff>
                    <xdr:row>193</xdr:row>
                    <xdr:rowOff>213360</xdr:rowOff>
                  </to>
                </anchor>
              </controlPr>
            </control>
          </mc:Choice>
        </mc:AlternateContent>
        <mc:AlternateContent xmlns:mc="http://schemas.openxmlformats.org/markup-compatibility/2006">
          <mc:Choice Requires="x14">
            <control shapeId="5232" r:id="rId100" name="Button 112">
              <controlPr defaultSize="0" print="0" autoFill="0" autoPict="0" macro="[0]!kopie9">
                <anchor moveWithCells="1" sizeWithCells="1">
                  <from>
                    <xdr:col>14</xdr:col>
                    <xdr:colOff>236220</xdr:colOff>
                    <xdr:row>193</xdr:row>
                    <xdr:rowOff>30480</xdr:rowOff>
                  </from>
                  <to>
                    <xdr:col>15</xdr:col>
                    <xdr:colOff>251460</xdr:colOff>
                    <xdr:row>193</xdr:row>
                    <xdr:rowOff>213360</xdr:rowOff>
                  </to>
                </anchor>
              </controlPr>
            </control>
          </mc:Choice>
        </mc:AlternateContent>
        <mc:AlternateContent xmlns:mc="http://schemas.openxmlformats.org/markup-compatibility/2006">
          <mc:Choice Requires="x14">
            <control shapeId="5233" r:id="rId101" name="Button 113">
              <controlPr defaultSize="0" print="0" autoFill="0" autoPict="0" macro="[0]!kopie10">
                <anchor moveWithCells="1" sizeWithCells="1">
                  <from>
                    <xdr:col>16</xdr:col>
                    <xdr:colOff>45720</xdr:colOff>
                    <xdr:row>193</xdr:row>
                    <xdr:rowOff>30480</xdr:rowOff>
                  </from>
                  <to>
                    <xdr:col>17</xdr:col>
                    <xdr:colOff>60960</xdr:colOff>
                    <xdr:row>193</xdr:row>
                    <xdr:rowOff>213360</xdr:rowOff>
                  </to>
                </anchor>
              </controlPr>
            </control>
          </mc:Choice>
        </mc:AlternateContent>
        <mc:AlternateContent xmlns:mc="http://schemas.openxmlformats.org/markup-compatibility/2006">
          <mc:Choice Requires="x14">
            <control shapeId="5234" r:id="rId102" name="Button 114">
              <controlPr defaultSize="0" print="0" autoFill="0" autoPict="0" macro="[0]!kopie11">
                <anchor moveWithCells="1" sizeWithCells="1">
                  <from>
                    <xdr:col>17</xdr:col>
                    <xdr:colOff>289560</xdr:colOff>
                    <xdr:row>193</xdr:row>
                    <xdr:rowOff>30480</xdr:rowOff>
                  </from>
                  <to>
                    <xdr:col>18</xdr:col>
                    <xdr:colOff>312420</xdr:colOff>
                    <xdr:row>193</xdr:row>
                    <xdr:rowOff>213360</xdr:rowOff>
                  </to>
                </anchor>
              </controlPr>
            </control>
          </mc:Choice>
        </mc:AlternateContent>
        <mc:AlternateContent xmlns:mc="http://schemas.openxmlformats.org/markup-compatibility/2006">
          <mc:Choice Requires="x14">
            <control shapeId="5235" r:id="rId103" name="Button 115">
              <controlPr defaultSize="0" print="0" autoFill="0" autoPict="0" macro="[0]!kopie12">
                <anchor moveWithCells="1" sizeWithCells="1">
                  <from>
                    <xdr:col>19</xdr:col>
                    <xdr:colOff>106680</xdr:colOff>
                    <xdr:row>193</xdr:row>
                    <xdr:rowOff>30480</xdr:rowOff>
                  </from>
                  <to>
                    <xdr:col>20</xdr:col>
                    <xdr:colOff>121920</xdr:colOff>
                    <xdr:row>193</xdr:row>
                    <xdr:rowOff>213360</xdr:rowOff>
                  </to>
                </anchor>
              </controlPr>
            </control>
          </mc:Choice>
        </mc:AlternateContent>
        <mc:AlternateContent xmlns:mc="http://schemas.openxmlformats.org/markup-compatibility/2006">
          <mc:Choice Requires="x14">
            <control shapeId="5236" r:id="rId104" name="Button 116">
              <controlPr defaultSize="0" print="0" autoFill="0" autoPict="0" macro="[0]!kopie4">
                <anchor moveWithCells="1" sizeWithCells="1">
                  <from>
                    <xdr:col>4</xdr:col>
                    <xdr:colOff>167640</xdr:colOff>
                    <xdr:row>44</xdr:row>
                    <xdr:rowOff>7620</xdr:rowOff>
                  </from>
                  <to>
                    <xdr:col>6</xdr:col>
                    <xdr:colOff>7620</xdr:colOff>
                    <xdr:row>44</xdr:row>
                    <xdr:rowOff>190500</xdr:rowOff>
                  </to>
                </anchor>
              </controlPr>
            </control>
          </mc:Choice>
        </mc:AlternateContent>
        <mc:AlternateContent xmlns:mc="http://schemas.openxmlformats.org/markup-compatibility/2006">
          <mc:Choice Requires="x14">
            <control shapeId="5237" r:id="rId105" name="Button 117">
              <controlPr defaultSize="0" print="0" autoFill="0" autoPict="0" macro="[0]!kopie5">
                <anchor moveWithCells="1" sizeWithCells="1">
                  <from>
                    <xdr:col>6</xdr:col>
                    <xdr:colOff>266700</xdr:colOff>
                    <xdr:row>44</xdr:row>
                    <xdr:rowOff>7620</xdr:rowOff>
                  </from>
                  <to>
                    <xdr:col>8</xdr:col>
                    <xdr:colOff>106680</xdr:colOff>
                    <xdr:row>44</xdr:row>
                    <xdr:rowOff>190500</xdr:rowOff>
                  </to>
                </anchor>
              </controlPr>
            </control>
          </mc:Choice>
        </mc:AlternateContent>
        <mc:AlternateContent xmlns:mc="http://schemas.openxmlformats.org/markup-compatibility/2006">
          <mc:Choice Requires="x14">
            <control shapeId="5238" r:id="rId106" name="Button 118">
              <controlPr defaultSize="0" print="0" autoFill="0" autoPict="0" macro="[0]!kopie6">
                <anchor moveWithCells="1" sizeWithCells="1">
                  <from>
                    <xdr:col>9</xdr:col>
                    <xdr:colOff>83820</xdr:colOff>
                    <xdr:row>44</xdr:row>
                    <xdr:rowOff>7620</xdr:rowOff>
                  </from>
                  <to>
                    <xdr:col>10</xdr:col>
                    <xdr:colOff>220980</xdr:colOff>
                    <xdr:row>44</xdr:row>
                    <xdr:rowOff>190500</xdr:rowOff>
                  </to>
                </anchor>
              </controlPr>
            </control>
          </mc:Choice>
        </mc:AlternateContent>
        <mc:AlternateContent xmlns:mc="http://schemas.openxmlformats.org/markup-compatibility/2006">
          <mc:Choice Requires="x14">
            <control shapeId="5239" r:id="rId107" name="Button 119">
              <controlPr defaultSize="0" print="0" autoFill="0" autoPict="0" macro="[0]!kopie7">
                <anchor moveWithCells="1" sizeWithCells="1">
                  <from>
                    <xdr:col>11</xdr:col>
                    <xdr:colOff>175260</xdr:colOff>
                    <xdr:row>44</xdr:row>
                    <xdr:rowOff>7620</xdr:rowOff>
                  </from>
                  <to>
                    <xdr:col>13</xdr:col>
                    <xdr:colOff>22860</xdr:colOff>
                    <xdr:row>44</xdr:row>
                    <xdr:rowOff>190500</xdr:rowOff>
                  </to>
                </anchor>
              </controlPr>
            </control>
          </mc:Choice>
        </mc:AlternateContent>
        <mc:AlternateContent xmlns:mc="http://schemas.openxmlformats.org/markup-compatibility/2006">
          <mc:Choice Requires="x14">
            <control shapeId="5240" r:id="rId108" name="Button 120">
              <controlPr defaultSize="0" print="0" autoFill="0" autoPict="0" macro="[0]!kopie8">
                <anchor moveWithCells="1" sizeWithCells="1">
                  <from>
                    <xdr:col>14</xdr:col>
                    <xdr:colOff>60960</xdr:colOff>
                    <xdr:row>44</xdr:row>
                    <xdr:rowOff>7620</xdr:rowOff>
                  </from>
                  <to>
                    <xdr:col>15</xdr:col>
                    <xdr:colOff>76200</xdr:colOff>
                    <xdr:row>44</xdr:row>
                    <xdr:rowOff>190500</xdr:rowOff>
                  </to>
                </anchor>
              </controlPr>
            </control>
          </mc:Choice>
        </mc:AlternateContent>
        <mc:AlternateContent xmlns:mc="http://schemas.openxmlformats.org/markup-compatibility/2006">
          <mc:Choice Requires="x14">
            <control shapeId="5241" r:id="rId109" name="Button 121">
              <controlPr defaultSize="0" print="0" autoFill="0" autoPict="0" macro="[0]!kopie9">
                <anchor moveWithCells="1" sizeWithCells="1">
                  <from>
                    <xdr:col>15</xdr:col>
                    <xdr:colOff>388620</xdr:colOff>
                    <xdr:row>44</xdr:row>
                    <xdr:rowOff>7620</xdr:rowOff>
                  </from>
                  <to>
                    <xdr:col>16</xdr:col>
                    <xdr:colOff>403860</xdr:colOff>
                    <xdr:row>44</xdr:row>
                    <xdr:rowOff>190500</xdr:rowOff>
                  </to>
                </anchor>
              </controlPr>
            </control>
          </mc:Choice>
        </mc:AlternateContent>
        <mc:AlternateContent xmlns:mc="http://schemas.openxmlformats.org/markup-compatibility/2006">
          <mc:Choice Requires="x14">
            <control shapeId="5242" r:id="rId110" name="Button 122">
              <controlPr defaultSize="0" print="0" autoFill="0" autoPict="0" macro="[0]!kopie10">
                <anchor moveWithCells="1" sizeWithCells="1">
                  <from>
                    <xdr:col>17</xdr:col>
                    <xdr:colOff>198120</xdr:colOff>
                    <xdr:row>44</xdr:row>
                    <xdr:rowOff>7620</xdr:rowOff>
                  </from>
                  <to>
                    <xdr:col>18</xdr:col>
                    <xdr:colOff>213360</xdr:colOff>
                    <xdr:row>44</xdr:row>
                    <xdr:rowOff>190500</xdr:rowOff>
                  </to>
                </anchor>
              </controlPr>
            </control>
          </mc:Choice>
        </mc:AlternateContent>
        <mc:AlternateContent xmlns:mc="http://schemas.openxmlformats.org/markup-compatibility/2006">
          <mc:Choice Requires="x14">
            <control shapeId="5243" r:id="rId111" name="Button 123">
              <controlPr defaultSize="0" print="0" autoFill="0" autoPict="0" macro="[0]!kopie11">
                <anchor moveWithCells="1" sizeWithCells="1">
                  <from>
                    <xdr:col>19</xdr:col>
                    <xdr:colOff>22860</xdr:colOff>
                    <xdr:row>44</xdr:row>
                    <xdr:rowOff>7620</xdr:rowOff>
                  </from>
                  <to>
                    <xdr:col>20</xdr:col>
                    <xdr:colOff>45720</xdr:colOff>
                    <xdr:row>44</xdr:row>
                    <xdr:rowOff>190500</xdr:rowOff>
                  </to>
                </anchor>
              </controlPr>
            </control>
          </mc:Choice>
        </mc:AlternateContent>
        <mc:AlternateContent xmlns:mc="http://schemas.openxmlformats.org/markup-compatibility/2006">
          <mc:Choice Requires="x14">
            <control shapeId="5244" r:id="rId112" name="Button 124">
              <controlPr defaultSize="0" print="0" autoFill="0" autoPict="0" macro="[0]!kopie12">
                <anchor moveWithCells="1" sizeWithCells="1">
                  <from>
                    <xdr:col>20</xdr:col>
                    <xdr:colOff>259080</xdr:colOff>
                    <xdr:row>44</xdr:row>
                    <xdr:rowOff>7620</xdr:rowOff>
                  </from>
                  <to>
                    <xdr:col>21</xdr:col>
                    <xdr:colOff>274320</xdr:colOff>
                    <xdr:row>44</xdr:row>
                    <xdr:rowOff>190500</xdr:rowOff>
                  </to>
                </anchor>
              </controlPr>
            </control>
          </mc:Choice>
        </mc:AlternateContent>
        <mc:AlternateContent xmlns:mc="http://schemas.openxmlformats.org/markup-compatibility/2006">
          <mc:Choice Requires="x14">
            <control shapeId="5250" r:id="rId113" name="Button 130">
              <controlPr defaultSize="0" print="0" autoFill="0" autoPict="0" macro="[0]!kopie4">
                <anchor moveWithCells="1" sizeWithCells="1">
                  <from>
                    <xdr:col>3</xdr:col>
                    <xdr:colOff>91440</xdr:colOff>
                    <xdr:row>243</xdr:row>
                    <xdr:rowOff>45720</xdr:rowOff>
                  </from>
                  <to>
                    <xdr:col>4</xdr:col>
                    <xdr:colOff>182880</xdr:colOff>
                    <xdr:row>243</xdr:row>
                    <xdr:rowOff>228600</xdr:rowOff>
                  </to>
                </anchor>
              </controlPr>
            </control>
          </mc:Choice>
        </mc:AlternateContent>
        <mc:AlternateContent xmlns:mc="http://schemas.openxmlformats.org/markup-compatibility/2006">
          <mc:Choice Requires="x14">
            <control shapeId="5251" r:id="rId114" name="Button 131">
              <controlPr defaultSize="0" print="0" autoFill="0" autoPict="0" macro="[0]!kopie5">
                <anchor moveWithCells="1" sizeWithCells="1">
                  <from>
                    <xdr:col>5</xdr:col>
                    <xdr:colOff>144780</xdr:colOff>
                    <xdr:row>243</xdr:row>
                    <xdr:rowOff>45720</xdr:rowOff>
                  </from>
                  <to>
                    <xdr:col>6</xdr:col>
                    <xdr:colOff>281940</xdr:colOff>
                    <xdr:row>243</xdr:row>
                    <xdr:rowOff>228600</xdr:rowOff>
                  </to>
                </anchor>
              </controlPr>
            </control>
          </mc:Choice>
        </mc:AlternateContent>
        <mc:AlternateContent xmlns:mc="http://schemas.openxmlformats.org/markup-compatibility/2006">
          <mc:Choice Requires="x14">
            <control shapeId="5252" r:id="rId115" name="Button 132">
              <controlPr defaultSize="0" print="0" autoFill="0" autoPict="0" macro="[0]!kopie6">
                <anchor moveWithCells="1" sizeWithCells="1">
                  <from>
                    <xdr:col>7</xdr:col>
                    <xdr:colOff>259080</xdr:colOff>
                    <xdr:row>243</xdr:row>
                    <xdr:rowOff>45720</xdr:rowOff>
                  </from>
                  <to>
                    <xdr:col>9</xdr:col>
                    <xdr:colOff>99060</xdr:colOff>
                    <xdr:row>243</xdr:row>
                    <xdr:rowOff>228600</xdr:rowOff>
                  </to>
                </anchor>
              </controlPr>
            </control>
          </mc:Choice>
        </mc:AlternateContent>
        <mc:AlternateContent xmlns:mc="http://schemas.openxmlformats.org/markup-compatibility/2006">
          <mc:Choice Requires="x14">
            <control shapeId="5253" r:id="rId116" name="Button 133">
              <controlPr defaultSize="0" print="0" autoFill="0" autoPict="0" macro="[0]!kopie7">
                <anchor moveWithCells="1" sizeWithCells="1">
                  <from>
                    <xdr:col>10</xdr:col>
                    <xdr:colOff>45720</xdr:colOff>
                    <xdr:row>243</xdr:row>
                    <xdr:rowOff>45720</xdr:rowOff>
                  </from>
                  <to>
                    <xdr:col>11</xdr:col>
                    <xdr:colOff>190500</xdr:colOff>
                    <xdr:row>243</xdr:row>
                    <xdr:rowOff>228600</xdr:rowOff>
                  </to>
                </anchor>
              </controlPr>
            </control>
          </mc:Choice>
        </mc:AlternateContent>
        <mc:AlternateContent xmlns:mc="http://schemas.openxmlformats.org/markup-compatibility/2006">
          <mc:Choice Requires="x14">
            <control shapeId="5254" r:id="rId117" name="Button 134">
              <controlPr defaultSize="0" print="0" autoFill="0" autoPict="0" macro="[0]!kopie8">
                <anchor moveWithCells="1" sizeWithCells="1">
                  <from>
                    <xdr:col>12</xdr:col>
                    <xdr:colOff>228600</xdr:colOff>
                    <xdr:row>243</xdr:row>
                    <xdr:rowOff>45720</xdr:rowOff>
                  </from>
                  <to>
                    <xdr:col>14</xdr:col>
                    <xdr:colOff>68580</xdr:colOff>
                    <xdr:row>243</xdr:row>
                    <xdr:rowOff>228600</xdr:rowOff>
                  </to>
                </anchor>
              </controlPr>
            </control>
          </mc:Choice>
        </mc:AlternateContent>
        <mc:AlternateContent xmlns:mc="http://schemas.openxmlformats.org/markup-compatibility/2006">
          <mc:Choice Requires="x14">
            <control shapeId="5255" r:id="rId118" name="Button 135">
              <controlPr defaultSize="0" print="0" autoFill="0" autoPict="0" macro="[0]!kopie9">
                <anchor moveWithCells="1" sizeWithCells="1">
                  <from>
                    <xdr:col>14</xdr:col>
                    <xdr:colOff>381000</xdr:colOff>
                    <xdr:row>243</xdr:row>
                    <xdr:rowOff>45720</xdr:rowOff>
                  </from>
                  <to>
                    <xdr:col>15</xdr:col>
                    <xdr:colOff>396240</xdr:colOff>
                    <xdr:row>243</xdr:row>
                    <xdr:rowOff>228600</xdr:rowOff>
                  </to>
                </anchor>
              </controlPr>
            </control>
          </mc:Choice>
        </mc:AlternateContent>
        <mc:AlternateContent xmlns:mc="http://schemas.openxmlformats.org/markup-compatibility/2006">
          <mc:Choice Requires="x14">
            <control shapeId="5256" r:id="rId119" name="Button 136">
              <controlPr defaultSize="0" print="0" autoFill="0" autoPict="0" macro="[0]!kopie10">
                <anchor moveWithCells="1" sizeWithCells="1">
                  <from>
                    <xdr:col>16</xdr:col>
                    <xdr:colOff>190500</xdr:colOff>
                    <xdr:row>243</xdr:row>
                    <xdr:rowOff>45720</xdr:rowOff>
                  </from>
                  <to>
                    <xdr:col>17</xdr:col>
                    <xdr:colOff>205740</xdr:colOff>
                    <xdr:row>243</xdr:row>
                    <xdr:rowOff>228600</xdr:rowOff>
                  </to>
                </anchor>
              </controlPr>
            </control>
          </mc:Choice>
        </mc:AlternateContent>
        <mc:AlternateContent xmlns:mc="http://schemas.openxmlformats.org/markup-compatibility/2006">
          <mc:Choice Requires="x14">
            <control shapeId="5257" r:id="rId120" name="Button 137">
              <controlPr defaultSize="0" print="0" autoFill="0" autoPict="0" macro="[0]!kopie11">
                <anchor moveWithCells="1" sizeWithCells="1">
                  <from>
                    <xdr:col>18</xdr:col>
                    <xdr:colOff>15240</xdr:colOff>
                    <xdr:row>243</xdr:row>
                    <xdr:rowOff>45720</xdr:rowOff>
                  </from>
                  <to>
                    <xdr:col>19</xdr:col>
                    <xdr:colOff>38100</xdr:colOff>
                    <xdr:row>243</xdr:row>
                    <xdr:rowOff>228600</xdr:rowOff>
                  </to>
                </anchor>
              </controlPr>
            </control>
          </mc:Choice>
        </mc:AlternateContent>
        <mc:AlternateContent xmlns:mc="http://schemas.openxmlformats.org/markup-compatibility/2006">
          <mc:Choice Requires="x14">
            <control shapeId="5258" r:id="rId121" name="Button 138">
              <controlPr defaultSize="0" print="0" autoFill="0" autoPict="0" macro="[0]!kopie12">
                <anchor moveWithCells="1" sizeWithCells="1">
                  <from>
                    <xdr:col>19</xdr:col>
                    <xdr:colOff>251460</xdr:colOff>
                    <xdr:row>243</xdr:row>
                    <xdr:rowOff>45720</xdr:rowOff>
                  </from>
                  <to>
                    <xdr:col>20</xdr:col>
                    <xdr:colOff>266700</xdr:colOff>
                    <xdr:row>243</xdr:row>
                    <xdr:rowOff>228600</xdr:rowOff>
                  </to>
                </anchor>
              </controlPr>
            </control>
          </mc:Choice>
        </mc:AlternateContent>
        <mc:AlternateContent xmlns:mc="http://schemas.openxmlformats.org/markup-compatibility/2006">
          <mc:Choice Requires="x14">
            <control shapeId="5260" r:id="rId122" name="Button 140">
              <controlPr defaultSize="0" print="0" autoFill="0" autoPict="0" macro="[0]!kopie4">
                <anchor moveWithCells="1" sizeWithCells="1">
                  <from>
                    <xdr:col>3</xdr:col>
                    <xdr:colOff>30480</xdr:colOff>
                    <xdr:row>268</xdr:row>
                    <xdr:rowOff>106680</xdr:rowOff>
                  </from>
                  <to>
                    <xdr:col>4</xdr:col>
                    <xdr:colOff>121920</xdr:colOff>
                    <xdr:row>269</xdr:row>
                    <xdr:rowOff>0</xdr:rowOff>
                  </to>
                </anchor>
              </controlPr>
            </control>
          </mc:Choice>
        </mc:AlternateContent>
        <mc:AlternateContent xmlns:mc="http://schemas.openxmlformats.org/markup-compatibility/2006">
          <mc:Choice Requires="x14">
            <control shapeId="5261" r:id="rId123" name="Button 141">
              <controlPr defaultSize="0" print="0" autoFill="0" autoPict="0" macro="[0]!kopie5">
                <anchor moveWithCells="1" sizeWithCells="1">
                  <from>
                    <xdr:col>5</xdr:col>
                    <xdr:colOff>83820</xdr:colOff>
                    <xdr:row>268</xdr:row>
                    <xdr:rowOff>106680</xdr:rowOff>
                  </from>
                  <to>
                    <xdr:col>6</xdr:col>
                    <xdr:colOff>220980</xdr:colOff>
                    <xdr:row>269</xdr:row>
                    <xdr:rowOff>0</xdr:rowOff>
                  </to>
                </anchor>
              </controlPr>
            </control>
          </mc:Choice>
        </mc:AlternateContent>
        <mc:AlternateContent xmlns:mc="http://schemas.openxmlformats.org/markup-compatibility/2006">
          <mc:Choice Requires="x14">
            <control shapeId="5262" r:id="rId124" name="Button 142">
              <controlPr defaultSize="0" print="0" autoFill="0" autoPict="0" macro="[0]!kopie6">
                <anchor moveWithCells="1" sizeWithCells="1">
                  <from>
                    <xdr:col>7</xdr:col>
                    <xdr:colOff>198120</xdr:colOff>
                    <xdr:row>268</xdr:row>
                    <xdr:rowOff>106680</xdr:rowOff>
                  </from>
                  <to>
                    <xdr:col>9</xdr:col>
                    <xdr:colOff>38100</xdr:colOff>
                    <xdr:row>269</xdr:row>
                    <xdr:rowOff>0</xdr:rowOff>
                  </to>
                </anchor>
              </controlPr>
            </control>
          </mc:Choice>
        </mc:AlternateContent>
        <mc:AlternateContent xmlns:mc="http://schemas.openxmlformats.org/markup-compatibility/2006">
          <mc:Choice Requires="x14">
            <control shapeId="5263" r:id="rId125" name="Button 143">
              <controlPr defaultSize="0" print="0" autoFill="0" autoPict="0" macro="[0]!kopie7">
                <anchor moveWithCells="1" sizeWithCells="1">
                  <from>
                    <xdr:col>9</xdr:col>
                    <xdr:colOff>281940</xdr:colOff>
                    <xdr:row>268</xdr:row>
                    <xdr:rowOff>106680</xdr:rowOff>
                  </from>
                  <to>
                    <xdr:col>11</xdr:col>
                    <xdr:colOff>129540</xdr:colOff>
                    <xdr:row>269</xdr:row>
                    <xdr:rowOff>0</xdr:rowOff>
                  </to>
                </anchor>
              </controlPr>
            </control>
          </mc:Choice>
        </mc:AlternateContent>
        <mc:AlternateContent xmlns:mc="http://schemas.openxmlformats.org/markup-compatibility/2006">
          <mc:Choice Requires="x14">
            <control shapeId="5264" r:id="rId126" name="Button 144">
              <controlPr defaultSize="0" print="0" autoFill="0" autoPict="0" macro="[0]!kopie8">
                <anchor moveWithCells="1" sizeWithCells="1">
                  <from>
                    <xdr:col>12</xdr:col>
                    <xdr:colOff>167640</xdr:colOff>
                    <xdr:row>268</xdr:row>
                    <xdr:rowOff>106680</xdr:rowOff>
                  </from>
                  <to>
                    <xdr:col>14</xdr:col>
                    <xdr:colOff>7620</xdr:colOff>
                    <xdr:row>269</xdr:row>
                    <xdr:rowOff>0</xdr:rowOff>
                  </to>
                </anchor>
              </controlPr>
            </control>
          </mc:Choice>
        </mc:AlternateContent>
        <mc:AlternateContent xmlns:mc="http://schemas.openxmlformats.org/markup-compatibility/2006">
          <mc:Choice Requires="x14">
            <control shapeId="5265" r:id="rId127" name="Button 145">
              <controlPr defaultSize="0" print="0" autoFill="0" autoPict="0" macro="[0]!kopie9">
                <anchor moveWithCells="1" sizeWithCells="1">
                  <from>
                    <xdr:col>14</xdr:col>
                    <xdr:colOff>320040</xdr:colOff>
                    <xdr:row>268</xdr:row>
                    <xdr:rowOff>106680</xdr:rowOff>
                  </from>
                  <to>
                    <xdr:col>15</xdr:col>
                    <xdr:colOff>335280</xdr:colOff>
                    <xdr:row>269</xdr:row>
                    <xdr:rowOff>0</xdr:rowOff>
                  </to>
                </anchor>
              </controlPr>
            </control>
          </mc:Choice>
        </mc:AlternateContent>
        <mc:AlternateContent xmlns:mc="http://schemas.openxmlformats.org/markup-compatibility/2006">
          <mc:Choice Requires="x14">
            <control shapeId="5266" r:id="rId128" name="Button 146">
              <controlPr defaultSize="0" print="0" autoFill="0" autoPict="0" macro="[0]!kopie10">
                <anchor moveWithCells="1" sizeWithCells="1">
                  <from>
                    <xdr:col>16</xdr:col>
                    <xdr:colOff>129540</xdr:colOff>
                    <xdr:row>268</xdr:row>
                    <xdr:rowOff>106680</xdr:rowOff>
                  </from>
                  <to>
                    <xdr:col>17</xdr:col>
                    <xdr:colOff>144780</xdr:colOff>
                    <xdr:row>269</xdr:row>
                    <xdr:rowOff>0</xdr:rowOff>
                  </to>
                </anchor>
              </controlPr>
            </control>
          </mc:Choice>
        </mc:AlternateContent>
        <mc:AlternateContent xmlns:mc="http://schemas.openxmlformats.org/markup-compatibility/2006">
          <mc:Choice Requires="x14">
            <control shapeId="5267" r:id="rId129" name="Button 147">
              <controlPr defaultSize="0" print="0" autoFill="0" autoPict="0" macro="[0]!kopie11">
                <anchor moveWithCells="1" sizeWithCells="1">
                  <from>
                    <xdr:col>17</xdr:col>
                    <xdr:colOff>373380</xdr:colOff>
                    <xdr:row>268</xdr:row>
                    <xdr:rowOff>106680</xdr:rowOff>
                  </from>
                  <to>
                    <xdr:col>18</xdr:col>
                    <xdr:colOff>396240</xdr:colOff>
                    <xdr:row>269</xdr:row>
                    <xdr:rowOff>0</xdr:rowOff>
                  </to>
                </anchor>
              </controlPr>
            </control>
          </mc:Choice>
        </mc:AlternateContent>
        <mc:AlternateContent xmlns:mc="http://schemas.openxmlformats.org/markup-compatibility/2006">
          <mc:Choice Requires="x14">
            <control shapeId="5268" r:id="rId130" name="Button 148">
              <controlPr defaultSize="0" print="0" autoFill="0" autoPict="0" macro="[0]!kopie12">
                <anchor moveWithCells="1" sizeWithCells="1">
                  <from>
                    <xdr:col>19</xdr:col>
                    <xdr:colOff>190500</xdr:colOff>
                    <xdr:row>268</xdr:row>
                    <xdr:rowOff>106680</xdr:rowOff>
                  </from>
                  <to>
                    <xdr:col>20</xdr:col>
                    <xdr:colOff>205740</xdr:colOff>
                    <xdr:row>269</xdr:row>
                    <xdr:rowOff>0</xdr:rowOff>
                  </to>
                </anchor>
              </controlPr>
            </control>
          </mc:Choice>
        </mc:AlternateContent>
        <mc:AlternateContent xmlns:mc="http://schemas.openxmlformats.org/markup-compatibility/2006">
          <mc:Choice Requires="x14">
            <control shapeId="5270" r:id="rId131" name="Button 150">
              <controlPr defaultSize="0" print="0" autoFill="0" autoPict="0" macro="[0]!kopie4">
                <anchor moveWithCells="1" sizeWithCells="1">
                  <from>
                    <xdr:col>3</xdr:col>
                    <xdr:colOff>38100</xdr:colOff>
                    <xdr:row>293</xdr:row>
                    <xdr:rowOff>53340</xdr:rowOff>
                  </from>
                  <to>
                    <xdr:col>4</xdr:col>
                    <xdr:colOff>129540</xdr:colOff>
                    <xdr:row>293</xdr:row>
                    <xdr:rowOff>236220</xdr:rowOff>
                  </to>
                </anchor>
              </controlPr>
            </control>
          </mc:Choice>
        </mc:AlternateContent>
        <mc:AlternateContent xmlns:mc="http://schemas.openxmlformats.org/markup-compatibility/2006">
          <mc:Choice Requires="x14">
            <control shapeId="5271" r:id="rId132" name="Button 151">
              <controlPr defaultSize="0" print="0" autoFill="0" autoPict="0" macro="[0]!kopie5">
                <anchor moveWithCells="1" sizeWithCells="1">
                  <from>
                    <xdr:col>5</xdr:col>
                    <xdr:colOff>91440</xdr:colOff>
                    <xdr:row>293</xdr:row>
                    <xdr:rowOff>53340</xdr:rowOff>
                  </from>
                  <to>
                    <xdr:col>6</xdr:col>
                    <xdr:colOff>228600</xdr:colOff>
                    <xdr:row>293</xdr:row>
                    <xdr:rowOff>236220</xdr:rowOff>
                  </to>
                </anchor>
              </controlPr>
            </control>
          </mc:Choice>
        </mc:AlternateContent>
        <mc:AlternateContent xmlns:mc="http://schemas.openxmlformats.org/markup-compatibility/2006">
          <mc:Choice Requires="x14">
            <control shapeId="5272" r:id="rId133" name="Button 152">
              <controlPr defaultSize="0" print="0" autoFill="0" autoPict="0" macro="[0]!kopie6">
                <anchor moveWithCells="1" sizeWithCells="1">
                  <from>
                    <xdr:col>7</xdr:col>
                    <xdr:colOff>205740</xdr:colOff>
                    <xdr:row>293</xdr:row>
                    <xdr:rowOff>53340</xdr:rowOff>
                  </from>
                  <to>
                    <xdr:col>9</xdr:col>
                    <xdr:colOff>45720</xdr:colOff>
                    <xdr:row>293</xdr:row>
                    <xdr:rowOff>236220</xdr:rowOff>
                  </to>
                </anchor>
              </controlPr>
            </control>
          </mc:Choice>
        </mc:AlternateContent>
        <mc:AlternateContent xmlns:mc="http://schemas.openxmlformats.org/markup-compatibility/2006">
          <mc:Choice Requires="x14">
            <control shapeId="5273" r:id="rId134" name="Button 153">
              <controlPr defaultSize="0" print="0" autoFill="0" autoPict="0" macro="[0]!kopie7">
                <anchor moveWithCells="1" sizeWithCells="1">
                  <from>
                    <xdr:col>9</xdr:col>
                    <xdr:colOff>289560</xdr:colOff>
                    <xdr:row>293</xdr:row>
                    <xdr:rowOff>53340</xdr:rowOff>
                  </from>
                  <to>
                    <xdr:col>11</xdr:col>
                    <xdr:colOff>137160</xdr:colOff>
                    <xdr:row>293</xdr:row>
                    <xdr:rowOff>236220</xdr:rowOff>
                  </to>
                </anchor>
              </controlPr>
            </control>
          </mc:Choice>
        </mc:AlternateContent>
        <mc:AlternateContent xmlns:mc="http://schemas.openxmlformats.org/markup-compatibility/2006">
          <mc:Choice Requires="x14">
            <control shapeId="5274" r:id="rId135" name="Button 154">
              <controlPr defaultSize="0" print="0" autoFill="0" autoPict="0" macro="[0]!kopie8">
                <anchor moveWithCells="1" sizeWithCells="1">
                  <from>
                    <xdr:col>12</xdr:col>
                    <xdr:colOff>175260</xdr:colOff>
                    <xdr:row>293</xdr:row>
                    <xdr:rowOff>53340</xdr:rowOff>
                  </from>
                  <to>
                    <xdr:col>14</xdr:col>
                    <xdr:colOff>15240</xdr:colOff>
                    <xdr:row>293</xdr:row>
                    <xdr:rowOff>236220</xdr:rowOff>
                  </to>
                </anchor>
              </controlPr>
            </control>
          </mc:Choice>
        </mc:AlternateContent>
        <mc:AlternateContent xmlns:mc="http://schemas.openxmlformats.org/markup-compatibility/2006">
          <mc:Choice Requires="x14">
            <control shapeId="5275" r:id="rId136" name="Button 155">
              <controlPr defaultSize="0" print="0" autoFill="0" autoPict="0" macro="[0]!kopie9">
                <anchor moveWithCells="1" sizeWithCells="1">
                  <from>
                    <xdr:col>14</xdr:col>
                    <xdr:colOff>327660</xdr:colOff>
                    <xdr:row>293</xdr:row>
                    <xdr:rowOff>53340</xdr:rowOff>
                  </from>
                  <to>
                    <xdr:col>15</xdr:col>
                    <xdr:colOff>342900</xdr:colOff>
                    <xdr:row>293</xdr:row>
                    <xdr:rowOff>236220</xdr:rowOff>
                  </to>
                </anchor>
              </controlPr>
            </control>
          </mc:Choice>
        </mc:AlternateContent>
        <mc:AlternateContent xmlns:mc="http://schemas.openxmlformats.org/markup-compatibility/2006">
          <mc:Choice Requires="x14">
            <control shapeId="5276" r:id="rId137" name="Button 156">
              <controlPr defaultSize="0" print="0" autoFill="0" autoPict="0" macro="[0]!kopie10">
                <anchor moveWithCells="1" sizeWithCells="1">
                  <from>
                    <xdr:col>16</xdr:col>
                    <xdr:colOff>137160</xdr:colOff>
                    <xdr:row>293</xdr:row>
                    <xdr:rowOff>53340</xdr:rowOff>
                  </from>
                  <to>
                    <xdr:col>17</xdr:col>
                    <xdr:colOff>152400</xdr:colOff>
                    <xdr:row>293</xdr:row>
                    <xdr:rowOff>236220</xdr:rowOff>
                  </to>
                </anchor>
              </controlPr>
            </control>
          </mc:Choice>
        </mc:AlternateContent>
        <mc:AlternateContent xmlns:mc="http://schemas.openxmlformats.org/markup-compatibility/2006">
          <mc:Choice Requires="x14">
            <control shapeId="5277" r:id="rId138" name="Button 157">
              <controlPr defaultSize="0" print="0" autoFill="0" autoPict="0" macro="[0]!kopie11">
                <anchor moveWithCells="1" sizeWithCells="1">
                  <from>
                    <xdr:col>17</xdr:col>
                    <xdr:colOff>381000</xdr:colOff>
                    <xdr:row>293</xdr:row>
                    <xdr:rowOff>53340</xdr:rowOff>
                  </from>
                  <to>
                    <xdr:col>18</xdr:col>
                    <xdr:colOff>403860</xdr:colOff>
                    <xdr:row>293</xdr:row>
                    <xdr:rowOff>236220</xdr:rowOff>
                  </to>
                </anchor>
              </controlPr>
            </control>
          </mc:Choice>
        </mc:AlternateContent>
        <mc:AlternateContent xmlns:mc="http://schemas.openxmlformats.org/markup-compatibility/2006">
          <mc:Choice Requires="x14">
            <control shapeId="5278" r:id="rId139" name="Button 158">
              <controlPr defaultSize="0" print="0" autoFill="0" autoPict="0" macro="[0]!kopie12">
                <anchor moveWithCells="1" sizeWithCells="1">
                  <from>
                    <xdr:col>19</xdr:col>
                    <xdr:colOff>198120</xdr:colOff>
                    <xdr:row>293</xdr:row>
                    <xdr:rowOff>53340</xdr:rowOff>
                  </from>
                  <to>
                    <xdr:col>20</xdr:col>
                    <xdr:colOff>213360</xdr:colOff>
                    <xdr:row>293</xdr:row>
                    <xdr:rowOff>236220</xdr:rowOff>
                  </to>
                </anchor>
              </controlPr>
            </control>
          </mc:Choice>
        </mc:AlternateContent>
        <mc:AlternateContent xmlns:mc="http://schemas.openxmlformats.org/markup-compatibility/2006">
          <mc:Choice Requires="x14">
            <control shapeId="5302" r:id="rId140" name="Button 182">
              <controlPr defaultSize="0" print="0" autoFill="0" autoPict="0" macro="[0]!kopie4">
                <anchor moveWithCells="1" sizeWithCells="1">
                  <from>
                    <xdr:col>3</xdr:col>
                    <xdr:colOff>129540</xdr:colOff>
                    <xdr:row>368</xdr:row>
                    <xdr:rowOff>76200</xdr:rowOff>
                  </from>
                  <to>
                    <xdr:col>4</xdr:col>
                    <xdr:colOff>220980</xdr:colOff>
                    <xdr:row>368</xdr:row>
                    <xdr:rowOff>259080</xdr:rowOff>
                  </to>
                </anchor>
              </controlPr>
            </control>
          </mc:Choice>
        </mc:AlternateContent>
        <mc:AlternateContent xmlns:mc="http://schemas.openxmlformats.org/markup-compatibility/2006">
          <mc:Choice Requires="x14">
            <control shapeId="5303" r:id="rId141" name="Button 183">
              <controlPr defaultSize="0" print="0" autoFill="0" autoPict="0" macro="[0]!kopie5">
                <anchor moveWithCells="1" sizeWithCells="1">
                  <from>
                    <xdr:col>5</xdr:col>
                    <xdr:colOff>182880</xdr:colOff>
                    <xdr:row>368</xdr:row>
                    <xdr:rowOff>76200</xdr:rowOff>
                  </from>
                  <to>
                    <xdr:col>7</xdr:col>
                    <xdr:colOff>22860</xdr:colOff>
                    <xdr:row>368</xdr:row>
                    <xdr:rowOff>259080</xdr:rowOff>
                  </to>
                </anchor>
              </controlPr>
            </control>
          </mc:Choice>
        </mc:AlternateContent>
        <mc:AlternateContent xmlns:mc="http://schemas.openxmlformats.org/markup-compatibility/2006">
          <mc:Choice Requires="x14">
            <control shapeId="5304" r:id="rId142" name="Button 184">
              <controlPr defaultSize="0" print="0" autoFill="0" autoPict="0" macro="[0]!kopie6">
                <anchor moveWithCells="1" sizeWithCells="1">
                  <from>
                    <xdr:col>8</xdr:col>
                    <xdr:colOff>0</xdr:colOff>
                    <xdr:row>368</xdr:row>
                    <xdr:rowOff>76200</xdr:rowOff>
                  </from>
                  <to>
                    <xdr:col>9</xdr:col>
                    <xdr:colOff>137160</xdr:colOff>
                    <xdr:row>368</xdr:row>
                    <xdr:rowOff>259080</xdr:rowOff>
                  </to>
                </anchor>
              </controlPr>
            </control>
          </mc:Choice>
        </mc:AlternateContent>
        <mc:AlternateContent xmlns:mc="http://schemas.openxmlformats.org/markup-compatibility/2006">
          <mc:Choice Requires="x14">
            <control shapeId="5305" r:id="rId143" name="Button 185">
              <controlPr defaultSize="0" print="0" autoFill="0" autoPict="0" macro="[0]!kopie7">
                <anchor moveWithCells="1" sizeWithCells="1">
                  <from>
                    <xdr:col>10</xdr:col>
                    <xdr:colOff>83820</xdr:colOff>
                    <xdr:row>368</xdr:row>
                    <xdr:rowOff>76200</xdr:rowOff>
                  </from>
                  <to>
                    <xdr:col>11</xdr:col>
                    <xdr:colOff>228600</xdr:colOff>
                    <xdr:row>368</xdr:row>
                    <xdr:rowOff>259080</xdr:rowOff>
                  </to>
                </anchor>
              </controlPr>
            </control>
          </mc:Choice>
        </mc:AlternateContent>
        <mc:AlternateContent xmlns:mc="http://schemas.openxmlformats.org/markup-compatibility/2006">
          <mc:Choice Requires="x14">
            <control shapeId="5306" r:id="rId144" name="Button 186">
              <controlPr defaultSize="0" print="0" autoFill="0" autoPict="0" macro="[0]!kopie8">
                <anchor moveWithCells="1" sizeWithCells="1">
                  <from>
                    <xdr:col>12</xdr:col>
                    <xdr:colOff>266700</xdr:colOff>
                    <xdr:row>368</xdr:row>
                    <xdr:rowOff>76200</xdr:rowOff>
                  </from>
                  <to>
                    <xdr:col>14</xdr:col>
                    <xdr:colOff>106680</xdr:colOff>
                    <xdr:row>368</xdr:row>
                    <xdr:rowOff>259080</xdr:rowOff>
                  </to>
                </anchor>
              </controlPr>
            </control>
          </mc:Choice>
        </mc:AlternateContent>
        <mc:AlternateContent xmlns:mc="http://schemas.openxmlformats.org/markup-compatibility/2006">
          <mc:Choice Requires="x14">
            <control shapeId="5307" r:id="rId145" name="Button 187">
              <controlPr defaultSize="0" print="0" autoFill="0" autoPict="0" macro="[0]!kopie9">
                <anchor moveWithCells="1" sizeWithCells="1">
                  <from>
                    <xdr:col>15</xdr:col>
                    <xdr:colOff>0</xdr:colOff>
                    <xdr:row>368</xdr:row>
                    <xdr:rowOff>76200</xdr:rowOff>
                  </from>
                  <to>
                    <xdr:col>16</xdr:col>
                    <xdr:colOff>15240</xdr:colOff>
                    <xdr:row>368</xdr:row>
                    <xdr:rowOff>259080</xdr:rowOff>
                  </to>
                </anchor>
              </controlPr>
            </control>
          </mc:Choice>
        </mc:AlternateContent>
        <mc:AlternateContent xmlns:mc="http://schemas.openxmlformats.org/markup-compatibility/2006">
          <mc:Choice Requires="x14">
            <control shapeId="5308" r:id="rId146" name="Button 188">
              <controlPr defaultSize="0" print="0" autoFill="0" autoPict="0" macro="[0]!kopie10">
                <anchor moveWithCells="1" sizeWithCells="1">
                  <from>
                    <xdr:col>16</xdr:col>
                    <xdr:colOff>228600</xdr:colOff>
                    <xdr:row>368</xdr:row>
                    <xdr:rowOff>76200</xdr:rowOff>
                  </from>
                  <to>
                    <xdr:col>17</xdr:col>
                    <xdr:colOff>243840</xdr:colOff>
                    <xdr:row>368</xdr:row>
                    <xdr:rowOff>259080</xdr:rowOff>
                  </to>
                </anchor>
              </controlPr>
            </control>
          </mc:Choice>
        </mc:AlternateContent>
        <mc:AlternateContent xmlns:mc="http://schemas.openxmlformats.org/markup-compatibility/2006">
          <mc:Choice Requires="x14">
            <control shapeId="5309" r:id="rId147" name="Button 189">
              <controlPr defaultSize="0" print="0" autoFill="0" autoPict="0" macro="[0]!kopie11">
                <anchor moveWithCells="1" sizeWithCells="1">
                  <from>
                    <xdr:col>18</xdr:col>
                    <xdr:colOff>53340</xdr:colOff>
                    <xdr:row>368</xdr:row>
                    <xdr:rowOff>76200</xdr:rowOff>
                  </from>
                  <to>
                    <xdr:col>19</xdr:col>
                    <xdr:colOff>76200</xdr:colOff>
                    <xdr:row>368</xdr:row>
                    <xdr:rowOff>259080</xdr:rowOff>
                  </to>
                </anchor>
              </controlPr>
            </control>
          </mc:Choice>
        </mc:AlternateContent>
        <mc:AlternateContent xmlns:mc="http://schemas.openxmlformats.org/markup-compatibility/2006">
          <mc:Choice Requires="x14">
            <control shapeId="5310" r:id="rId148" name="Button 190">
              <controlPr defaultSize="0" print="0" autoFill="0" autoPict="0" macro="[0]!kopie12">
                <anchor moveWithCells="1" sizeWithCells="1">
                  <from>
                    <xdr:col>19</xdr:col>
                    <xdr:colOff>289560</xdr:colOff>
                    <xdr:row>368</xdr:row>
                    <xdr:rowOff>76200</xdr:rowOff>
                  </from>
                  <to>
                    <xdr:col>20</xdr:col>
                    <xdr:colOff>304800</xdr:colOff>
                    <xdr:row>368</xdr:row>
                    <xdr:rowOff>259080</xdr:rowOff>
                  </to>
                </anchor>
              </controlPr>
            </control>
          </mc:Choice>
        </mc:AlternateContent>
        <mc:AlternateContent xmlns:mc="http://schemas.openxmlformats.org/markup-compatibility/2006">
          <mc:Choice Requires="x14">
            <control shapeId="5312" r:id="rId149" name="Button 192">
              <controlPr defaultSize="0" print="0" autoFill="0" autoPict="0" macro="[0]!kopie4">
                <anchor moveWithCells="1" sizeWithCells="1">
                  <from>
                    <xdr:col>3</xdr:col>
                    <xdr:colOff>91440</xdr:colOff>
                    <xdr:row>393</xdr:row>
                    <xdr:rowOff>53340</xdr:rowOff>
                  </from>
                  <to>
                    <xdr:col>4</xdr:col>
                    <xdr:colOff>182880</xdr:colOff>
                    <xdr:row>393</xdr:row>
                    <xdr:rowOff>236220</xdr:rowOff>
                  </to>
                </anchor>
              </controlPr>
            </control>
          </mc:Choice>
        </mc:AlternateContent>
        <mc:AlternateContent xmlns:mc="http://schemas.openxmlformats.org/markup-compatibility/2006">
          <mc:Choice Requires="x14">
            <control shapeId="5313" r:id="rId150" name="Button 193">
              <controlPr defaultSize="0" print="0" autoFill="0" autoPict="0" macro="[0]!kopie5">
                <anchor moveWithCells="1" sizeWithCells="1">
                  <from>
                    <xdr:col>5</xdr:col>
                    <xdr:colOff>144780</xdr:colOff>
                    <xdr:row>393</xdr:row>
                    <xdr:rowOff>53340</xdr:rowOff>
                  </from>
                  <to>
                    <xdr:col>6</xdr:col>
                    <xdr:colOff>281940</xdr:colOff>
                    <xdr:row>393</xdr:row>
                    <xdr:rowOff>236220</xdr:rowOff>
                  </to>
                </anchor>
              </controlPr>
            </control>
          </mc:Choice>
        </mc:AlternateContent>
        <mc:AlternateContent xmlns:mc="http://schemas.openxmlformats.org/markup-compatibility/2006">
          <mc:Choice Requires="x14">
            <control shapeId="5314" r:id="rId151" name="Button 194">
              <controlPr defaultSize="0" print="0" autoFill="0" autoPict="0" macro="[0]!kopie6">
                <anchor moveWithCells="1" sizeWithCells="1">
                  <from>
                    <xdr:col>7</xdr:col>
                    <xdr:colOff>259080</xdr:colOff>
                    <xdr:row>393</xdr:row>
                    <xdr:rowOff>53340</xdr:rowOff>
                  </from>
                  <to>
                    <xdr:col>9</xdr:col>
                    <xdr:colOff>99060</xdr:colOff>
                    <xdr:row>393</xdr:row>
                    <xdr:rowOff>236220</xdr:rowOff>
                  </to>
                </anchor>
              </controlPr>
            </control>
          </mc:Choice>
        </mc:AlternateContent>
        <mc:AlternateContent xmlns:mc="http://schemas.openxmlformats.org/markup-compatibility/2006">
          <mc:Choice Requires="x14">
            <control shapeId="5315" r:id="rId152" name="Button 195">
              <controlPr defaultSize="0" print="0" autoFill="0" autoPict="0" macro="[0]!kopie7">
                <anchor moveWithCells="1" sizeWithCells="1">
                  <from>
                    <xdr:col>10</xdr:col>
                    <xdr:colOff>45720</xdr:colOff>
                    <xdr:row>393</xdr:row>
                    <xdr:rowOff>53340</xdr:rowOff>
                  </from>
                  <to>
                    <xdr:col>11</xdr:col>
                    <xdr:colOff>190500</xdr:colOff>
                    <xdr:row>393</xdr:row>
                    <xdr:rowOff>236220</xdr:rowOff>
                  </to>
                </anchor>
              </controlPr>
            </control>
          </mc:Choice>
        </mc:AlternateContent>
        <mc:AlternateContent xmlns:mc="http://schemas.openxmlformats.org/markup-compatibility/2006">
          <mc:Choice Requires="x14">
            <control shapeId="5316" r:id="rId153" name="Button 196">
              <controlPr defaultSize="0" print="0" autoFill="0" autoPict="0" macro="[0]!kopie8">
                <anchor moveWithCells="1" sizeWithCells="1">
                  <from>
                    <xdr:col>12</xdr:col>
                    <xdr:colOff>228600</xdr:colOff>
                    <xdr:row>393</xdr:row>
                    <xdr:rowOff>53340</xdr:rowOff>
                  </from>
                  <to>
                    <xdr:col>14</xdr:col>
                    <xdr:colOff>68580</xdr:colOff>
                    <xdr:row>393</xdr:row>
                    <xdr:rowOff>236220</xdr:rowOff>
                  </to>
                </anchor>
              </controlPr>
            </control>
          </mc:Choice>
        </mc:AlternateContent>
        <mc:AlternateContent xmlns:mc="http://schemas.openxmlformats.org/markup-compatibility/2006">
          <mc:Choice Requires="x14">
            <control shapeId="5317" r:id="rId154" name="Button 197">
              <controlPr defaultSize="0" print="0" autoFill="0" autoPict="0" macro="[0]!kopie9">
                <anchor moveWithCells="1" sizeWithCells="1">
                  <from>
                    <xdr:col>14</xdr:col>
                    <xdr:colOff>381000</xdr:colOff>
                    <xdr:row>393</xdr:row>
                    <xdr:rowOff>53340</xdr:rowOff>
                  </from>
                  <to>
                    <xdr:col>15</xdr:col>
                    <xdr:colOff>396240</xdr:colOff>
                    <xdr:row>393</xdr:row>
                    <xdr:rowOff>236220</xdr:rowOff>
                  </to>
                </anchor>
              </controlPr>
            </control>
          </mc:Choice>
        </mc:AlternateContent>
        <mc:AlternateContent xmlns:mc="http://schemas.openxmlformats.org/markup-compatibility/2006">
          <mc:Choice Requires="x14">
            <control shapeId="5318" r:id="rId155" name="Button 198">
              <controlPr defaultSize="0" print="0" autoFill="0" autoPict="0" macro="[0]!kopie10">
                <anchor moveWithCells="1" sizeWithCells="1">
                  <from>
                    <xdr:col>16</xdr:col>
                    <xdr:colOff>190500</xdr:colOff>
                    <xdr:row>393</xdr:row>
                    <xdr:rowOff>53340</xdr:rowOff>
                  </from>
                  <to>
                    <xdr:col>17</xdr:col>
                    <xdr:colOff>205740</xdr:colOff>
                    <xdr:row>393</xdr:row>
                    <xdr:rowOff>236220</xdr:rowOff>
                  </to>
                </anchor>
              </controlPr>
            </control>
          </mc:Choice>
        </mc:AlternateContent>
        <mc:AlternateContent xmlns:mc="http://schemas.openxmlformats.org/markup-compatibility/2006">
          <mc:Choice Requires="x14">
            <control shapeId="5319" r:id="rId156" name="Button 199">
              <controlPr defaultSize="0" print="0" autoFill="0" autoPict="0" macro="[0]!kopie11">
                <anchor moveWithCells="1" sizeWithCells="1">
                  <from>
                    <xdr:col>18</xdr:col>
                    <xdr:colOff>15240</xdr:colOff>
                    <xdr:row>393</xdr:row>
                    <xdr:rowOff>53340</xdr:rowOff>
                  </from>
                  <to>
                    <xdr:col>19</xdr:col>
                    <xdr:colOff>38100</xdr:colOff>
                    <xdr:row>393</xdr:row>
                    <xdr:rowOff>236220</xdr:rowOff>
                  </to>
                </anchor>
              </controlPr>
            </control>
          </mc:Choice>
        </mc:AlternateContent>
        <mc:AlternateContent xmlns:mc="http://schemas.openxmlformats.org/markup-compatibility/2006">
          <mc:Choice Requires="x14">
            <control shapeId="5320" r:id="rId157" name="Button 200">
              <controlPr defaultSize="0" print="0" autoFill="0" autoPict="0" macro="[0]!kopie12">
                <anchor moveWithCells="1" sizeWithCells="1">
                  <from>
                    <xdr:col>19</xdr:col>
                    <xdr:colOff>251460</xdr:colOff>
                    <xdr:row>393</xdr:row>
                    <xdr:rowOff>53340</xdr:rowOff>
                  </from>
                  <to>
                    <xdr:col>20</xdr:col>
                    <xdr:colOff>266700</xdr:colOff>
                    <xdr:row>393</xdr:row>
                    <xdr:rowOff>236220</xdr:rowOff>
                  </to>
                </anchor>
              </controlPr>
            </control>
          </mc:Choice>
        </mc:AlternateContent>
        <mc:AlternateContent xmlns:mc="http://schemas.openxmlformats.org/markup-compatibility/2006">
          <mc:Choice Requires="x14">
            <control shapeId="5322" r:id="rId158" name="Button 202">
              <controlPr defaultSize="0" print="0" autoFill="0" autoPict="0" macro="[0]!kopie4">
                <anchor moveWithCells="1" sizeWithCells="1">
                  <from>
                    <xdr:col>2</xdr:col>
                    <xdr:colOff>327660</xdr:colOff>
                    <xdr:row>418</xdr:row>
                    <xdr:rowOff>121920</xdr:rowOff>
                  </from>
                  <to>
                    <xdr:col>4</xdr:col>
                    <xdr:colOff>76200</xdr:colOff>
                    <xdr:row>419</xdr:row>
                    <xdr:rowOff>15240</xdr:rowOff>
                  </to>
                </anchor>
              </controlPr>
            </control>
          </mc:Choice>
        </mc:AlternateContent>
        <mc:AlternateContent xmlns:mc="http://schemas.openxmlformats.org/markup-compatibility/2006">
          <mc:Choice Requires="x14">
            <control shapeId="5323" r:id="rId159" name="Button 203">
              <controlPr defaultSize="0" print="0" autoFill="0" autoPict="0" macro="[0]!kopie5">
                <anchor moveWithCells="1" sizeWithCells="1">
                  <from>
                    <xdr:col>5</xdr:col>
                    <xdr:colOff>30480</xdr:colOff>
                    <xdr:row>418</xdr:row>
                    <xdr:rowOff>121920</xdr:rowOff>
                  </from>
                  <to>
                    <xdr:col>6</xdr:col>
                    <xdr:colOff>167640</xdr:colOff>
                    <xdr:row>419</xdr:row>
                    <xdr:rowOff>15240</xdr:rowOff>
                  </to>
                </anchor>
              </controlPr>
            </control>
          </mc:Choice>
        </mc:AlternateContent>
        <mc:AlternateContent xmlns:mc="http://schemas.openxmlformats.org/markup-compatibility/2006">
          <mc:Choice Requires="x14">
            <control shapeId="5324" r:id="rId160" name="Button 204">
              <controlPr defaultSize="0" print="0" autoFill="0" autoPict="0" macro="[0]!kopie6">
                <anchor moveWithCells="1" sizeWithCells="1">
                  <from>
                    <xdr:col>7</xdr:col>
                    <xdr:colOff>144780</xdr:colOff>
                    <xdr:row>418</xdr:row>
                    <xdr:rowOff>121920</xdr:rowOff>
                  </from>
                  <to>
                    <xdr:col>8</xdr:col>
                    <xdr:colOff>281940</xdr:colOff>
                    <xdr:row>419</xdr:row>
                    <xdr:rowOff>15240</xdr:rowOff>
                  </to>
                </anchor>
              </controlPr>
            </control>
          </mc:Choice>
        </mc:AlternateContent>
        <mc:AlternateContent xmlns:mc="http://schemas.openxmlformats.org/markup-compatibility/2006">
          <mc:Choice Requires="x14">
            <control shapeId="5325" r:id="rId161" name="Button 205">
              <controlPr defaultSize="0" print="0" autoFill="0" autoPict="0" macro="[0]!kopie7">
                <anchor moveWithCells="1" sizeWithCells="1">
                  <from>
                    <xdr:col>9</xdr:col>
                    <xdr:colOff>228600</xdr:colOff>
                    <xdr:row>418</xdr:row>
                    <xdr:rowOff>121920</xdr:rowOff>
                  </from>
                  <to>
                    <xdr:col>11</xdr:col>
                    <xdr:colOff>76200</xdr:colOff>
                    <xdr:row>419</xdr:row>
                    <xdr:rowOff>15240</xdr:rowOff>
                  </to>
                </anchor>
              </controlPr>
            </control>
          </mc:Choice>
        </mc:AlternateContent>
        <mc:AlternateContent xmlns:mc="http://schemas.openxmlformats.org/markup-compatibility/2006">
          <mc:Choice Requires="x14">
            <control shapeId="5326" r:id="rId162" name="Button 206">
              <controlPr defaultSize="0" print="0" autoFill="0" autoPict="0" macro="[0]!kopie8">
                <anchor moveWithCells="1" sizeWithCells="1">
                  <from>
                    <xdr:col>12</xdr:col>
                    <xdr:colOff>114300</xdr:colOff>
                    <xdr:row>418</xdr:row>
                    <xdr:rowOff>121920</xdr:rowOff>
                  </from>
                  <to>
                    <xdr:col>13</xdr:col>
                    <xdr:colOff>251460</xdr:colOff>
                    <xdr:row>419</xdr:row>
                    <xdr:rowOff>15240</xdr:rowOff>
                  </to>
                </anchor>
              </controlPr>
            </control>
          </mc:Choice>
        </mc:AlternateContent>
        <mc:AlternateContent xmlns:mc="http://schemas.openxmlformats.org/markup-compatibility/2006">
          <mc:Choice Requires="x14">
            <control shapeId="5327" r:id="rId163" name="Button 207">
              <controlPr defaultSize="0" print="0" autoFill="0" autoPict="0" macro="[0]!kopie9">
                <anchor moveWithCells="1" sizeWithCells="1">
                  <from>
                    <xdr:col>14</xdr:col>
                    <xdr:colOff>266700</xdr:colOff>
                    <xdr:row>418</xdr:row>
                    <xdr:rowOff>121920</xdr:rowOff>
                  </from>
                  <to>
                    <xdr:col>15</xdr:col>
                    <xdr:colOff>281940</xdr:colOff>
                    <xdr:row>419</xdr:row>
                    <xdr:rowOff>15240</xdr:rowOff>
                  </to>
                </anchor>
              </controlPr>
            </control>
          </mc:Choice>
        </mc:AlternateContent>
        <mc:AlternateContent xmlns:mc="http://schemas.openxmlformats.org/markup-compatibility/2006">
          <mc:Choice Requires="x14">
            <control shapeId="5328" r:id="rId164" name="Button 208">
              <controlPr defaultSize="0" print="0" autoFill="0" autoPict="0" macro="[0]!kopie10">
                <anchor moveWithCells="1" sizeWithCells="1">
                  <from>
                    <xdr:col>16</xdr:col>
                    <xdr:colOff>76200</xdr:colOff>
                    <xdr:row>418</xdr:row>
                    <xdr:rowOff>121920</xdr:rowOff>
                  </from>
                  <to>
                    <xdr:col>17</xdr:col>
                    <xdr:colOff>91440</xdr:colOff>
                    <xdr:row>419</xdr:row>
                    <xdr:rowOff>15240</xdr:rowOff>
                  </to>
                </anchor>
              </controlPr>
            </control>
          </mc:Choice>
        </mc:AlternateContent>
        <mc:AlternateContent xmlns:mc="http://schemas.openxmlformats.org/markup-compatibility/2006">
          <mc:Choice Requires="x14">
            <control shapeId="5329" r:id="rId165" name="Button 209">
              <controlPr defaultSize="0" print="0" autoFill="0" autoPict="0" macro="[0]!kopie11">
                <anchor moveWithCells="1" sizeWithCells="1">
                  <from>
                    <xdr:col>17</xdr:col>
                    <xdr:colOff>320040</xdr:colOff>
                    <xdr:row>418</xdr:row>
                    <xdr:rowOff>121920</xdr:rowOff>
                  </from>
                  <to>
                    <xdr:col>18</xdr:col>
                    <xdr:colOff>342900</xdr:colOff>
                    <xdr:row>419</xdr:row>
                    <xdr:rowOff>15240</xdr:rowOff>
                  </to>
                </anchor>
              </controlPr>
            </control>
          </mc:Choice>
        </mc:AlternateContent>
        <mc:AlternateContent xmlns:mc="http://schemas.openxmlformats.org/markup-compatibility/2006">
          <mc:Choice Requires="x14">
            <control shapeId="5330" r:id="rId166" name="Button 210">
              <controlPr defaultSize="0" print="0" autoFill="0" autoPict="0" macro="[0]!kopie12">
                <anchor moveWithCells="1" sizeWithCells="1">
                  <from>
                    <xdr:col>19</xdr:col>
                    <xdr:colOff>137160</xdr:colOff>
                    <xdr:row>418</xdr:row>
                    <xdr:rowOff>121920</xdr:rowOff>
                  </from>
                  <to>
                    <xdr:col>20</xdr:col>
                    <xdr:colOff>152400</xdr:colOff>
                    <xdr:row>419</xdr:row>
                    <xdr:rowOff>15240</xdr:rowOff>
                  </to>
                </anchor>
              </controlPr>
            </control>
          </mc:Choice>
        </mc:AlternateContent>
        <mc:AlternateContent xmlns:mc="http://schemas.openxmlformats.org/markup-compatibility/2006">
          <mc:Choice Requires="x14">
            <control shapeId="5332" r:id="rId167" name="Button 212">
              <controlPr defaultSize="0" print="0" autoFill="0" autoPict="0" macro="[0]!kopie4">
                <anchor moveWithCells="1" sizeWithCells="1">
                  <from>
                    <xdr:col>2</xdr:col>
                    <xdr:colOff>274320</xdr:colOff>
                    <xdr:row>443</xdr:row>
                    <xdr:rowOff>76200</xdr:rowOff>
                  </from>
                  <to>
                    <xdr:col>4</xdr:col>
                    <xdr:colOff>22860</xdr:colOff>
                    <xdr:row>443</xdr:row>
                    <xdr:rowOff>259080</xdr:rowOff>
                  </to>
                </anchor>
              </controlPr>
            </control>
          </mc:Choice>
        </mc:AlternateContent>
        <mc:AlternateContent xmlns:mc="http://schemas.openxmlformats.org/markup-compatibility/2006">
          <mc:Choice Requires="x14">
            <control shapeId="5333" r:id="rId168" name="Button 213">
              <controlPr defaultSize="0" print="0" autoFill="0" autoPict="0" macro="[0]!kopie5">
                <anchor moveWithCells="1" sizeWithCells="1">
                  <from>
                    <xdr:col>4</xdr:col>
                    <xdr:colOff>281940</xdr:colOff>
                    <xdr:row>443</xdr:row>
                    <xdr:rowOff>76200</xdr:rowOff>
                  </from>
                  <to>
                    <xdr:col>6</xdr:col>
                    <xdr:colOff>121920</xdr:colOff>
                    <xdr:row>443</xdr:row>
                    <xdr:rowOff>259080</xdr:rowOff>
                  </to>
                </anchor>
              </controlPr>
            </control>
          </mc:Choice>
        </mc:AlternateContent>
        <mc:AlternateContent xmlns:mc="http://schemas.openxmlformats.org/markup-compatibility/2006">
          <mc:Choice Requires="x14">
            <control shapeId="5334" r:id="rId169" name="Button 214">
              <controlPr defaultSize="0" print="0" autoFill="0" autoPict="0" macro="[0]!kopie6">
                <anchor moveWithCells="1" sizeWithCells="1">
                  <from>
                    <xdr:col>7</xdr:col>
                    <xdr:colOff>99060</xdr:colOff>
                    <xdr:row>443</xdr:row>
                    <xdr:rowOff>76200</xdr:rowOff>
                  </from>
                  <to>
                    <xdr:col>8</xdr:col>
                    <xdr:colOff>236220</xdr:colOff>
                    <xdr:row>443</xdr:row>
                    <xdr:rowOff>259080</xdr:rowOff>
                  </to>
                </anchor>
              </controlPr>
            </control>
          </mc:Choice>
        </mc:AlternateContent>
        <mc:AlternateContent xmlns:mc="http://schemas.openxmlformats.org/markup-compatibility/2006">
          <mc:Choice Requires="x14">
            <control shapeId="5335" r:id="rId170" name="Button 215">
              <controlPr defaultSize="0" print="0" autoFill="0" autoPict="0" macro="[0]!kopie7">
                <anchor moveWithCells="1" sizeWithCells="1">
                  <from>
                    <xdr:col>9</xdr:col>
                    <xdr:colOff>182880</xdr:colOff>
                    <xdr:row>443</xdr:row>
                    <xdr:rowOff>76200</xdr:rowOff>
                  </from>
                  <to>
                    <xdr:col>11</xdr:col>
                    <xdr:colOff>30480</xdr:colOff>
                    <xdr:row>443</xdr:row>
                    <xdr:rowOff>259080</xdr:rowOff>
                  </to>
                </anchor>
              </controlPr>
            </control>
          </mc:Choice>
        </mc:AlternateContent>
        <mc:AlternateContent xmlns:mc="http://schemas.openxmlformats.org/markup-compatibility/2006">
          <mc:Choice Requires="x14">
            <control shapeId="5336" r:id="rId171" name="Button 216">
              <controlPr defaultSize="0" print="0" autoFill="0" autoPict="0" macro="[0]!kopie8">
                <anchor moveWithCells="1" sizeWithCells="1">
                  <from>
                    <xdr:col>12</xdr:col>
                    <xdr:colOff>68580</xdr:colOff>
                    <xdr:row>443</xdr:row>
                    <xdr:rowOff>76200</xdr:rowOff>
                  </from>
                  <to>
                    <xdr:col>13</xdr:col>
                    <xdr:colOff>205740</xdr:colOff>
                    <xdr:row>443</xdr:row>
                    <xdr:rowOff>259080</xdr:rowOff>
                  </to>
                </anchor>
              </controlPr>
            </control>
          </mc:Choice>
        </mc:AlternateContent>
        <mc:AlternateContent xmlns:mc="http://schemas.openxmlformats.org/markup-compatibility/2006">
          <mc:Choice Requires="x14">
            <control shapeId="5337" r:id="rId172" name="Button 217">
              <controlPr defaultSize="0" print="0" autoFill="0" autoPict="0" macro="[0]!kopie9">
                <anchor moveWithCells="1" sizeWithCells="1">
                  <from>
                    <xdr:col>14</xdr:col>
                    <xdr:colOff>220980</xdr:colOff>
                    <xdr:row>443</xdr:row>
                    <xdr:rowOff>76200</xdr:rowOff>
                  </from>
                  <to>
                    <xdr:col>15</xdr:col>
                    <xdr:colOff>236220</xdr:colOff>
                    <xdr:row>443</xdr:row>
                    <xdr:rowOff>259080</xdr:rowOff>
                  </to>
                </anchor>
              </controlPr>
            </control>
          </mc:Choice>
        </mc:AlternateContent>
        <mc:AlternateContent xmlns:mc="http://schemas.openxmlformats.org/markup-compatibility/2006">
          <mc:Choice Requires="x14">
            <control shapeId="5338" r:id="rId173" name="Button 218">
              <controlPr defaultSize="0" print="0" autoFill="0" autoPict="0" macro="[0]!kopie10">
                <anchor moveWithCells="1" sizeWithCells="1">
                  <from>
                    <xdr:col>16</xdr:col>
                    <xdr:colOff>30480</xdr:colOff>
                    <xdr:row>443</xdr:row>
                    <xdr:rowOff>76200</xdr:rowOff>
                  </from>
                  <to>
                    <xdr:col>17</xdr:col>
                    <xdr:colOff>45720</xdr:colOff>
                    <xdr:row>443</xdr:row>
                    <xdr:rowOff>259080</xdr:rowOff>
                  </to>
                </anchor>
              </controlPr>
            </control>
          </mc:Choice>
        </mc:AlternateContent>
        <mc:AlternateContent xmlns:mc="http://schemas.openxmlformats.org/markup-compatibility/2006">
          <mc:Choice Requires="x14">
            <control shapeId="5339" r:id="rId174" name="Button 219">
              <controlPr defaultSize="0" print="0" autoFill="0" autoPict="0" macro="[0]!kopie11">
                <anchor moveWithCells="1" sizeWithCells="1">
                  <from>
                    <xdr:col>17</xdr:col>
                    <xdr:colOff>274320</xdr:colOff>
                    <xdr:row>443</xdr:row>
                    <xdr:rowOff>76200</xdr:rowOff>
                  </from>
                  <to>
                    <xdr:col>18</xdr:col>
                    <xdr:colOff>297180</xdr:colOff>
                    <xdr:row>443</xdr:row>
                    <xdr:rowOff>259080</xdr:rowOff>
                  </to>
                </anchor>
              </controlPr>
            </control>
          </mc:Choice>
        </mc:AlternateContent>
        <mc:AlternateContent xmlns:mc="http://schemas.openxmlformats.org/markup-compatibility/2006">
          <mc:Choice Requires="x14">
            <control shapeId="5340" r:id="rId175" name="Button 220">
              <controlPr defaultSize="0" print="0" autoFill="0" autoPict="0" macro="[0]!kopie12">
                <anchor moveWithCells="1" sizeWithCells="1">
                  <from>
                    <xdr:col>19</xdr:col>
                    <xdr:colOff>91440</xdr:colOff>
                    <xdr:row>443</xdr:row>
                    <xdr:rowOff>76200</xdr:rowOff>
                  </from>
                  <to>
                    <xdr:col>20</xdr:col>
                    <xdr:colOff>106680</xdr:colOff>
                    <xdr:row>443</xdr:row>
                    <xdr:rowOff>259080</xdr:rowOff>
                  </to>
                </anchor>
              </controlPr>
            </control>
          </mc:Choice>
        </mc:AlternateContent>
        <mc:AlternateContent xmlns:mc="http://schemas.openxmlformats.org/markup-compatibility/2006">
          <mc:Choice Requires="x14">
            <control shapeId="5342" r:id="rId176" name="Button 222">
              <controlPr defaultSize="0" print="0" autoFill="0" autoPict="0" macro="[0]!kopie4">
                <anchor moveWithCells="1" sizeWithCells="1">
                  <from>
                    <xdr:col>3</xdr:col>
                    <xdr:colOff>160020</xdr:colOff>
                    <xdr:row>468</xdr:row>
                    <xdr:rowOff>30480</xdr:rowOff>
                  </from>
                  <to>
                    <xdr:col>4</xdr:col>
                    <xdr:colOff>251460</xdr:colOff>
                    <xdr:row>468</xdr:row>
                    <xdr:rowOff>220980</xdr:rowOff>
                  </to>
                </anchor>
              </controlPr>
            </control>
          </mc:Choice>
        </mc:AlternateContent>
        <mc:AlternateContent xmlns:mc="http://schemas.openxmlformats.org/markup-compatibility/2006">
          <mc:Choice Requires="x14">
            <control shapeId="5343" r:id="rId177" name="Button 223">
              <controlPr defaultSize="0" print="0" autoFill="0" autoPict="0" macro="[0]!kopie5">
                <anchor moveWithCells="1" sizeWithCells="1">
                  <from>
                    <xdr:col>5</xdr:col>
                    <xdr:colOff>213360</xdr:colOff>
                    <xdr:row>468</xdr:row>
                    <xdr:rowOff>30480</xdr:rowOff>
                  </from>
                  <to>
                    <xdr:col>7</xdr:col>
                    <xdr:colOff>53340</xdr:colOff>
                    <xdr:row>468</xdr:row>
                    <xdr:rowOff>220980</xdr:rowOff>
                  </to>
                </anchor>
              </controlPr>
            </control>
          </mc:Choice>
        </mc:AlternateContent>
        <mc:AlternateContent xmlns:mc="http://schemas.openxmlformats.org/markup-compatibility/2006">
          <mc:Choice Requires="x14">
            <control shapeId="5344" r:id="rId178" name="Button 224">
              <controlPr defaultSize="0" print="0" autoFill="0" autoPict="0" macro="[0]!kopie6">
                <anchor moveWithCells="1" sizeWithCells="1">
                  <from>
                    <xdr:col>8</xdr:col>
                    <xdr:colOff>30480</xdr:colOff>
                    <xdr:row>468</xdr:row>
                    <xdr:rowOff>30480</xdr:rowOff>
                  </from>
                  <to>
                    <xdr:col>9</xdr:col>
                    <xdr:colOff>167640</xdr:colOff>
                    <xdr:row>468</xdr:row>
                    <xdr:rowOff>220980</xdr:rowOff>
                  </to>
                </anchor>
              </controlPr>
            </control>
          </mc:Choice>
        </mc:AlternateContent>
        <mc:AlternateContent xmlns:mc="http://schemas.openxmlformats.org/markup-compatibility/2006">
          <mc:Choice Requires="x14">
            <control shapeId="5345" r:id="rId179" name="Button 225">
              <controlPr defaultSize="0" print="0" autoFill="0" autoPict="0" macro="[0]!kopie7">
                <anchor moveWithCells="1" sizeWithCells="1">
                  <from>
                    <xdr:col>10</xdr:col>
                    <xdr:colOff>114300</xdr:colOff>
                    <xdr:row>468</xdr:row>
                    <xdr:rowOff>30480</xdr:rowOff>
                  </from>
                  <to>
                    <xdr:col>11</xdr:col>
                    <xdr:colOff>259080</xdr:colOff>
                    <xdr:row>468</xdr:row>
                    <xdr:rowOff>220980</xdr:rowOff>
                  </to>
                </anchor>
              </controlPr>
            </control>
          </mc:Choice>
        </mc:AlternateContent>
        <mc:AlternateContent xmlns:mc="http://schemas.openxmlformats.org/markup-compatibility/2006">
          <mc:Choice Requires="x14">
            <control shapeId="5346" r:id="rId180" name="Button 226">
              <controlPr defaultSize="0" print="0" autoFill="0" autoPict="0" macro="[0]!kopie8">
                <anchor moveWithCells="1" sizeWithCells="1">
                  <from>
                    <xdr:col>13</xdr:col>
                    <xdr:colOff>0</xdr:colOff>
                    <xdr:row>468</xdr:row>
                    <xdr:rowOff>30480</xdr:rowOff>
                  </from>
                  <to>
                    <xdr:col>14</xdr:col>
                    <xdr:colOff>137160</xdr:colOff>
                    <xdr:row>468</xdr:row>
                    <xdr:rowOff>220980</xdr:rowOff>
                  </to>
                </anchor>
              </controlPr>
            </control>
          </mc:Choice>
        </mc:AlternateContent>
        <mc:AlternateContent xmlns:mc="http://schemas.openxmlformats.org/markup-compatibility/2006">
          <mc:Choice Requires="x14">
            <control shapeId="5347" r:id="rId181" name="Button 227">
              <controlPr defaultSize="0" print="0" autoFill="0" autoPict="0" macro="[0]!kopie9">
                <anchor moveWithCells="1" sizeWithCells="1">
                  <from>
                    <xdr:col>15</xdr:col>
                    <xdr:colOff>30480</xdr:colOff>
                    <xdr:row>468</xdr:row>
                    <xdr:rowOff>30480</xdr:rowOff>
                  </from>
                  <to>
                    <xdr:col>16</xdr:col>
                    <xdr:colOff>45720</xdr:colOff>
                    <xdr:row>468</xdr:row>
                    <xdr:rowOff>220980</xdr:rowOff>
                  </to>
                </anchor>
              </controlPr>
            </control>
          </mc:Choice>
        </mc:AlternateContent>
        <mc:AlternateContent xmlns:mc="http://schemas.openxmlformats.org/markup-compatibility/2006">
          <mc:Choice Requires="x14">
            <control shapeId="5348" r:id="rId182" name="Button 228">
              <controlPr defaultSize="0" print="0" autoFill="0" autoPict="0" macro="[0]!kopie10">
                <anchor moveWithCells="1" sizeWithCells="1">
                  <from>
                    <xdr:col>16</xdr:col>
                    <xdr:colOff>259080</xdr:colOff>
                    <xdr:row>468</xdr:row>
                    <xdr:rowOff>30480</xdr:rowOff>
                  </from>
                  <to>
                    <xdr:col>17</xdr:col>
                    <xdr:colOff>274320</xdr:colOff>
                    <xdr:row>468</xdr:row>
                    <xdr:rowOff>220980</xdr:rowOff>
                  </to>
                </anchor>
              </controlPr>
            </control>
          </mc:Choice>
        </mc:AlternateContent>
        <mc:AlternateContent xmlns:mc="http://schemas.openxmlformats.org/markup-compatibility/2006">
          <mc:Choice Requires="x14">
            <control shapeId="5349" r:id="rId183" name="Button 229">
              <controlPr defaultSize="0" print="0" autoFill="0" autoPict="0" macro="[0]!kopie11">
                <anchor moveWithCells="1" sizeWithCells="1">
                  <from>
                    <xdr:col>18</xdr:col>
                    <xdr:colOff>83820</xdr:colOff>
                    <xdr:row>468</xdr:row>
                    <xdr:rowOff>30480</xdr:rowOff>
                  </from>
                  <to>
                    <xdr:col>19</xdr:col>
                    <xdr:colOff>106680</xdr:colOff>
                    <xdr:row>468</xdr:row>
                    <xdr:rowOff>220980</xdr:rowOff>
                  </to>
                </anchor>
              </controlPr>
            </control>
          </mc:Choice>
        </mc:AlternateContent>
        <mc:AlternateContent xmlns:mc="http://schemas.openxmlformats.org/markup-compatibility/2006">
          <mc:Choice Requires="x14">
            <control shapeId="5350" r:id="rId184" name="Button 230">
              <controlPr defaultSize="0" print="0" autoFill="0" autoPict="0" macro="[0]!kopie12">
                <anchor moveWithCells="1" sizeWithCells="1">
                  <from>
                    <xdr:col>19</xdr:col>
                    <xdr:colOff>320040</xdr:colOff>
                    <xdr:row>468</xdr:row>
                    <xdr:rowOff>30480</xdr:rowOff>
                  </from>
                  <to>
                    <xdr:col>20</xdr:col>
                    <xdr:colOff>335280</xdr:colOff>
                    <xdr:row>468</xdr:row>
                    <xdr:rowOff>220980</xdr:rowOff>
                  </to>
                </anchor>
              </controlPr>
            </control>
          </mc:Choice>
        </mc:AlternateContent>
        <mc:AlternateContent xmlns:mc="http://schemas.openxmlformats.org/markup-compatibility/2006">
          <mc:Choice Requires="x14">
            <control shapeId="2" r:id="rId185" name="Button 62">
              <controlPr defaultSize="0" print="0" autoFill="0" autoPict="0" macro="[0]!kopie4">
                <anchor moveWithCells="1" sizeWithCells="1">
                  <from>
                    <xdr:col>3</xdr:col>
                    <xdr:colOff>68580</xdr:colOff>
                    <xdr:row>218</xdr:row>
                    <xdr:rowOff>0</xdr:rowOff>
                  </from>
                  <to>
                    <xdr:col>4</xdr:col>
                    <xdr:colOff>160020</xdr:colOff>
                    <xdr:row>218</xdr:row>
                    <xdr:rowOff>182880</xdr:rowOff>
                  </to>
                </anchor>
              </controlPr>
            </control>
          </mc:Choice>
        </mc:AlternateContent>
        <mc:AlternateContent xmlns:mc="http://schemas.openxmlformats.org/markup-compatibility/2006">
          <mc:Choice Requires="x14">
            <control shapeId="3" r:id="rId186" name="Button 63">
              <controlPr defaultSize="0" print="0" autoFill="0" autoPict="0" macro="[0]!kopie5">
                <anchor moveWithCells="1" sizeWithCells="1">
                  <from>
                    <xdr:col>5</xdr:col>
                    <xdr:colOff>121920</xdr:colOff>
                    <xdr:row>218</xdr:row>
                    <xdr:rowOff>0</xdr:rowOff>
                  </from>
                  <to>
                    <xdr:col>6</xdr:col>
                    <xdr:colOff>259080</xdr:colOff>
                    <xdr:row>218</xdr:row>
                    <xdr:rowOff>182880</xdr:rowOff>
                  </to>
                </anchor>
              </controlPr>
            </control>
          </mc:Choice>
        </mc:AlternateContent>
        <mc:AlternateContent xmlns:mc="http://schemas.openxmlformats.org/markup-compatibility/2006">
          <mc:Choice Requires="x14">
            <control shapeId="4" r:id="rId187" name="Button 64">
              <controlPr defaultSize="0" print="0" autoFill="0" autoPict="0" macro="[0]!kopie6">
                <anchor moveWithCells="1" sizeWithCells="1">
                  <from>
                    <xdr:col>7</xdr:col>
                    <xdr:colOff>236220</xdr:colOff>
                    <xdr:row>218</xdr:row>
                    <xdr:rowOff>0</xdr:rowOff>
                  </from>
                  <to>
                    <xdr:col>9</xdr:col>
                    <xdr:colOff>76200</xdr:colOff>
                    <xdr:row>218</xdr:row>
                    <xdr:rowOff>182880</xdr:rowOff>
                  </to>
                </anchor>
              </controlPr>
            </control>
          </mc:Choice>
        </mc:AlternateContent>
        <mc:AlternateContent xmlns:mc="http://schemas.openxmlformats.org/markup-compatibility/2006">
          <mc:Choice Requires="x14">
            <control shapeId="5" r:id="rId188" name="Button 65">
              <controlPr defaultSize="0" print="0" autoFill="0" autoPict="0" macro="[0]!kopie7">
                <anchor moveWithCells="1" sizeWithCells="1">
                  <from>
                    <xdr:col>10</xdr:col>
                    <xdr:colOff>22860</xdr:colOff>
                    <xdr:row>218</xdr:row>
                    <xdr:rowOff>0</xdr:rowOff>
                  </from>
                  <to>
                    <xdr:col>11</xdr:col>
                    <xdr:colOff>167640</xdr:colOff>
                    <xdr:row>218</xdr:row>
                    <xdr:rowOff>182880</xdr:rowOff>
                  </to>
                </anchor>
              </controlPr>
            </control>
          </mc:Choice>
        </mc:AlternateContent>
        <mc:AlternateContent xmlns:mc="http://schemas.openxmlformats.org/markup-compatibility/2006">
          <mc:Choice Requires="x14">
            <control shapeId="6" r:id="rId189" name="Button 66">
              <controlPr defaultSize="0" print="0" autoFill="0" autoPict="0" macro="[0]!kopie8">
                <anchor moveWithCells="1" sizeWithCells="1">
                  <from>
                    <xdr:col>12</xdr:col>
                    <xdr:colOff>205740</xdr:colOff>
                    <xdr:row>218</xdr:row>
                    <xdr:rowOff>0</xdr:rowOff>
                  </from>
                  <to>
                    <xdr:col>14</xdr:col>
                    <xdr:colOff>45720</xdr:colOff>
                    <xdr:row>218</xdr:row>
                    <xdr:rowOff>182880</xdr:rowOff>
                  </to>
                </anchor>
              </controlPr>
            </control>
          </mc:Choice>
        </mc:AlternateContent>
        <mc:AlternateContent xmlns:mc="http://schemas.openxmlformats.org/markup-compatibility/2006">
          <mc:Choice Requires="x14">
            <control shapeId="7" r:id="rId190" name="Button 67">
              <controlPr defaultSize="0" print="0" autoFill="0" autoPict="0" macro="[0]!kopie9">
                <anchor moveWithCells="1" sizeWithCells="1">
                  <from>
                    <xdr:col>14</xdr:col>
                    <xdr:colOff>358140</xdr:colOff>
                    <xdr:row>218</xdr:row>
                    <xdr:rowOff>0</xdr:rowOff>
                  </from>
                  <to>
                    <xdr:col>15</xdr:col>
                    <xdr:colOff>373380</xdr:colOff>
                    <xdr:row>218</xdr:row>
                    <xdr:rowOff>182880</xdr:rowOff>
                  </to>
                </anchor>
              </controlPr>
            </control>
          </mc:Choice>
        </mc:AlternateContent>
        <mc:AlternateContent xmlns:mc="http://schemas.openxmlformats.org/markup-compatibility/2006">
          <mc:Choice Requires="x14">
            <control shapeId="8" r:id="rId191" name="Button 68">
              <controlPr defaultSize="0" print="0" autoFill="0" autoPict="0" macro="[0]!kopie10">
                <anchor moveWithCells="1" sizeWithCells="1">
                  <from>
                    <xdr:col>16</xdr:col>
                    <xdr:colOff>167640</xdr:colOff>
                    <xdr:row>218</xdr:row>
                    <xdr:rowOff>0</xdr:rowOff>
                  </from>
                  <to>
                    <xdr:col>17</xdr:col>
                    <xdr:colOff>182880</xdr:colOff>
                    <xdr:row>218</xdr:row>
                    <xdr:rowOff>182880</xdr:rowOff>
                  </to>
                </anchor>
              </controlPr>
            </control>
          </mc:Choice>
        </mc:AlternateContent>
        <mc:AlternateContent xmlns:mc="http://schemas.openxmlformats.org/markup-compatibility/2006">
          <mc:Choice Requires="x14">
            <control shapeId="9" r:id="rId192" name="Button 69">
              <controlPr defaultSize="0" print="0" autoFill="0" autoPict="0" macro="[0]!kopie11">
                <anchor moveWithCells="1" sizeWithCells="1">
                  <from>
                    <xdr:col>17</xdr:col>
                    <xdr:colOff>411480</xdr:colOff>
                    <xdr:row>218</xdr:row>
                    <xdr:rowOff>0</xdr:rowOff>
                  </from>
                  <to>
                    <xdr:col>19</xdr:col>
                    <xdr:colOff>15240</xdr:colOff>
                    <xdr:row>218</xdr:row>
                    <xdr:rowOff>182880</xdr:rowOff>
                  </to>
                </anchor>
              </controlPr>
            </control>
          </mc:Choice>
        </mc:AlternateContent>
        <mc:AlternateContent xmlns:mc="http://schemas.openxmlformats.org/markup-compatibility/2006">
          <mc:Choice Requires="x14">
            <control shapeId="20" r:id="rId193" name="Button 70">
              <controlPr defaultSize="0" print="0" autoFill="0" autoPict="0" macro="[0]!kopie12">
                <anchor moveWithCells="1" sizeWithCells="1">
                  <from>
                    <xdr:col>19</xdr:col>
                    <xdr:colOff>228600</xdr:colOff>
                    <xdr:row>218</xdr:row>
                    <xdr:rowOff>0</xdr:rowOff>
                  </from>
                  <to>
                    <xdr:col>20</xdr:col>
                    <xdr:colOff>243840</xdr:colOff>
                    <xdr:row>218</xdr:row>
                    <xdr:rowOff>182880</xdr:rowOff>
                  </to>
                </anchor>
              </controlPr>
            </control>
          </mc:Choice>
        </mc:AlternateContent>
        <mc:AlternateContent xmlns:mc="http://schemas.openxmlformats.org/markup-compatibility/2006">
          <mc:Choice Requires="x14">
            <control shapeId="21" r:id="rId194" name="Button 160">
              <controlPr defaultSize="0" print="0" autoFill="0" autoPict="0" macro="[0]!kopie4">
                <anchor moveWithCells="1" sizeWithCells="1">
                  <from>
                    <xdr:col>3</xdr:col>
                    <xdr:colOff>15240</xdr:colOff>
                    <xdr:row>318</xdr:row>
                    <xdr:rowOff>0</xdr:rowOff>
                  </from>
                  <to>
                    <xdr:col>4</xdr:col>
                    <xdr:colOff>106680</xdr:colOff>
                    <xdr:row>318</xdr:row>
                    <xdr:rowOff>182880</xdr:rowOff>
                  </to>
                </anchor>
              </controlPr>
            </control>
          </mc:Choice>
        </mc:AlternateContent>
        <mc:AlternateContent xmlns:mc="http://schemas.openxmlformats.org/markup-compatibility/2006">
          <mc:Choice Requires="x14">
            <control shapeId="22" r:id="rId195" name="Button 161">
              <controlPr defaultSize="0" print="0" autoFill="0" autoPict="0" macro="[0]!kopie5">
                <anchor moveWithCells="1" sizeWithCells="1">
                  <from>
                    <xdr:col>5</xdr:col>
                    <xdr:colOff>68580</xdr:colOff>
                    <xdr:row>318</xdr:row>
                    <xdr:rowOff>0</xdr:rowOff>
                  </from>
                  <to>
                    <xdr:col>6</xdr:col>
                    <xdr:colOff>205740</xdr:colOff>
                    <xdr:row>318</xdr:row>
                    <xdr:rowOff>182880</xdr:rowOff>
                  </to>
                </anchor>
              </controlPr>
            </control>
          </mc:Choice>
        </mc:AlternateContent>
        <mc:AlternateContent xmlns:mc="http://schemas.openxmlformats.org/markup-compatibility/2006">
          <mc:Choice Requires="x14">
            <control shapeId="23" r:id="rId196" name="Button 162">
              <controlPr defaultSize="0" print="0" autoFill="0" autoPict="0" macro="[0]!kopie6">
                <anchor moveWithCells="1" sizeWithCells="1">
                  <from>
                    <xdr:col>7</xdr:col>
                    <xdr:colOff>182880</xdr:colOff>
                    <xdr:row>318</xdr:row>
                    <xdr:rowOff>0</xdr:rowOff>
                  </from>
                  <to>
                    <xdr:col>9</xdr:col>
                    <xdr:colOff>22860</xdr:colOff>
                    <xdr:row>318</xdr:row>
                    <xdr:rowOff>182880</xdr:rowOff>
                  </to>
                </anchor>
              </controlPr>
            </control>
          </mc:Choice>
        </mc:AlternateContent>
        <mc:AlternateContent xmlns:mc="http://schemas.openxmlformats.org/markup-compatibility/2006">
          <mc:Choice Requires="x14">
            <control shapeId="24" r:id="rId197" name="Button 163">
              <controlPr defaultSize="0" print="0" autoFill="0" autoPict="0" macro="[0]!kopie7">
                <anchor moveWithCells="1" sizeWithCells="1">
                  <from>
                    <xdr:col>9</xdr:col>
                    <xdr:colOff>266700</xdr:colOff>
                    <xdr:row>318</xdr:row>
                    <xdr:rowOff>0</xdr:rowOff>
                  </from>
                  <to>
                    <xdr:col>11</xdr:col>
                    <xdr:colOff>114300</xdr:colOff>
                    <xdr:row>318</xdr:row>
                    <xdr:rowOff>182880</xdr:rowOff>
                  </to>
                </anchor>
              </controlPr>
            </control>
          </mc:Choice>
        </mc:AlternateContent>
        <mc:AlternateContent xmlns:mc="http://schemas.openxmlformats.org/markup-compatibility/2006">
          <mc:Choice Requires="x14">
            <control shapeId="25" r:id="rId198" name="Button 164">
              <controlPr defaultSize="0" print="0" autoFill="0" autoPict="0" macro="[0]!kopie8">
                <anchor moveWithCells="1" sizeWithCells="1">
                  <from>
                    <xdr:col>12</xdr:col>
                    <xdr:colOff>152400</xdr:colOff>
                    <xdr:row>318</xdr:row>
                    <xdr:rowOff>0</xdr:rowOff>
                  </from>
                  <to>
                    <xdr:col>13</xdr:col>
                    <xdr:colOff>289560</xdr:colOff>
                    <xdr:row>318</xdr:row>
                    <xdr:rowOff>182880</xdr:rowOff>
                  </to>
                </anchor>
              </controlPr>
            </control>
          </mc:Choice>
        </mc:AlternateContent>
        <mc:AlternateContent xmlns:mc="http://schemas.openxmlformats.org/markup-compatibility/2006">
          <mc:Choice Requires="x14">
            <control shapeId="26" r:id="rId199" name="Button 165">
              <controlPr defaultSize="0" print="0" autoFill="0" autoPict="0" macro="[0]!kopie9">
                <anchor moveWithCells="1" sizeWithCells="1">
                  <from>
                    <xdr:col>14</xdr:col>
                    <xdr:colOff>304800</xdr:colOff>
                    <xdr:row>318</xdr:row>
                    <xdr:rowOff>0</xdr:rowOff>
                  </from>
                  <to>
                    <xdr:col>15</xdr:col>
                    <xdr:colOff>320040</xdr:colOff>
                    <xdr:row>318</xdr:row>
                    <xdr:rowOff>182880</xdr:rowOff>
                  </to>
                </anchor>
              </controlPr>
            </control>
          </mc:Choice>
        </mc:AlternateContent>
        <mc:AlternateContent xmlns:mc="http://schemas.openxmlformats.org/markup-compatibility/2006">
          <mc:Choice Requires="x14">
            <control shapeId="27" r:id="rId200" name="Button 166">
              <controlPr defaultSize="0" print="0" autoFill="0" autoPict="0" macro="[0]!kopie10">
                <anchor moveWithCells="1" sizeWithCells="1">
                  <from>
                    <xdr:col>16</xdr:col>
                    <xdr:colOff>114300</xdr:colOff>
                    <xdr:row>318</xdr:row>
                    <xdr:rowOff>0</xdr:rowOff>
                  </from>
                  <to>
                    <xdr:col>17</xdr:col>
                    <xdr:colOff>129540</xdr:colOff>
                    <xdr:row>318</xdr:row>
                    <xdr:rowOff>182880</xdr:rowOff>
                  </to>
                </anchor>
              </controlPr>
            </control>
          </mc:Choice>
        </mc:AlternateContent>
        <mc:AlternateContent xmlns:mc="http://schemas.openxmlformats.org/markup-compatibility/2006">
          <mc:Choice Requires="x14">
            <control shapeId="28" r:id="rId201" name="Button 167">
              <controlPr defaultSize="0" print="0" autoFill="0" autoPict="0" macro="[0]!kopie11">
                <anchor moveWithCells="1" sizeWithCells="1">
                  <from>
                    <xdr:col>17</xdr:col>
                    <xdr:colOff>358140</xdr:colOff>
                    <xdr:row>318</xdr:row>
                    <xdr:rowOff>0</xdr:rowOff>
                  </from>
                  <to>
                    <xdr:col>18</xdr:col>
                    <xdr:colOff>381000</xdr:colOff>
                    <xdr:row>318</xdr:row>
                    <xdr:rowOff>182880</xdr:rowOff>
                  </to>
                </anchor>
              </controlPr>
            </control>
          </mc:Choice>
        </mc:AlternateContent>
        <mc:AlternateContent xmlns:mc="http://schemas.openxmlformats.org/markup-compatibility/2006">
          <mc:Choice Requires="x14">
            <control shapeId="29" r:id="rId202" name="Button 168">
              <controlPr defaultSize="0" print="0" autoFill="0" autoPict="0" macro="[0]!kopie12">
                <anchor moveWithCells="1" sizeWithCells="1">
                  <from>
                    <xdr:col>19</xdr:col>
                    <xdr:colOff>175260</xdr:colOff>
                    <xdr:row>318</xdr:row>
                    <xdr:rowOff>0</xdr:rowOff>
                  </from>
                  <to>
                    <xdr:col>20</xdr:col>
                    <xdr:colOff>190500</xdr:colOff>
                    <xdr:row>318</xdr:row>
                    <xdr:rowOff>182880</xdr:rowOff>
                  </to>
                </anchor>
              </controlPr>
            </control>
          </mc:Choice>
        </mc:AlternateContent>
        <mc:AlternateContent xmlns:mc="http://schemas.openxmlformats.org/markup-compatibility/2006">
          <mc:Choice Requires="x14">
            <control shapeId="30" r:id="rId203" name="Button 171">
              <controlPr defaultSize="0" print="0" autoFill="0" autoPict="0" macro="[0]!kopie4">
                <anchor moveWithCells="1" sizeWithCells="1">
                  <from>
                    <xdr:col>3</xdr:col>
                    <xdr:colOff>60960</xdr:colOff>
                    <xdr:row>343</xdr:row>
                    <xdr:rowOff>7620</xdr:rowOff>
                  </from>
                  <to>
                    <xdr:col>4</xdr:col>
                    <xdr:colOff>152400</xdr:colOff>
                    <xdr:row>343</xdr:row>
                    <xdr:rowOff>190500</xdr:rowOff>
                  </to>
                </anchor>
              </controlPr>
            </control>
          </mc:Choice>
        </mc:AlternateContent>
        <mc:AlternateContent xmlns:mc="http://schemas.openxmlformats.org/markup-compatibility/2006">
          <mc:Choice Requires="x14">
            <control shapeId="31" r:id="rId204" name="Button 172">
              <controlPr defaultSize="0" print="0" autoFill="0" autoPict="0" macro="[0]!kopie5">
                <anchor moveWithCells="1" sizeWithCells="1">
                  <from>
                    <xdr:col>5</xdr:col>
                    <xdr:colOff>114300</xdr:colOff>
                    <xdr:row>343</xdr:row>
                    <xdr:rowOff>7620</xdr:rowOff>
                  </from>
                  <to>
                    <xdr:col>6</xdr:col>
                    <xdr:colOff>251460</xdr:colOff>
                    <xdr:row>343</xdr:row>
                    <xdr:rowOff>190500</xdr:rowOff>
                  </to>
                </anchor>
              </controlPr>
            </control>
          </mc:Choice>
        </mc:AlternateContent>
        <mc:AlternateContent xmlns:mc="http://schemas.openxmlformats.org/markup-compatibility/2006">
          <mc:Choice Requires="x14">
            <control shapeId="32" r:id="rId205" name="Button 173">
              <controlPr defaultSize="0" print="0" autoFill="0" autoPict="0" macro="[0]!kopie6">
                <anchor moveWithCells="1" sizeWithCells="1">
                  <from>
                    <xdr:col>7</xdr:col>
                    <xdr:colOff>228600</xdr:colOff>
                    <xdr:row>343</xdr:row>
                    <xdr:rowOff>7620</xdr:rowOff>
                  </from>
                  <to>
                    <xdr:col>9</xdr:col>
                    <xdr:colOff>68580</xdr:colOff>
                    <xdr:row>343</xdr:row>
                    <xdr:rowOff>190500</xdr:rowOff>
                  </to>
                </anchor>
              </controlPr>
            </control>
          </mc:Choice>
        </mc:AlternateContent>
        <mc:AlternateContent xmlns:mc="http://schemas.openxmlformats.org/markup-compatibility/2006">
          <mc:Choice Requires="x14">
            <control shapeId="33" r:id="rId206" name="Button 174">
              <controlPr defaultSize="0" print="0" autoFill="0" autoPict="0" macro="[0]!kopie7">
                <anchor moveWithCells="1" sizeWithCells="1">
                  <from>
                    <xdr:col>10</xdr:col>
                    <xdr:colOff>15240</xdr:colOff>
                    <xdr:row>343</xdr:row>
                    <xdr:rowOff>7620</xdr:rowOff>
                  </from>
                  <to>
                    <xdr:col>11</xdr:col>
                    <xdr:colOff>160020</xdr:colOff>
                    <xdr:row>343</xdr:row>
                    <xdr:rowOff>190500</xdr:rowOff>
                  </to>
                </anchor>
              </controlPr>
            </control>
          </mc:Choice>
        </mc:AlternateContent>
        <mc:AlternateContent xmlns:mc="http://schemas.openxmlformats.org/markup-compatibility/2006">
          <mc:Choice Requires="x14">
            <control shapeId="34" r:id="rId207" name="Button 175">
              <controlPr defaultSize="0" print="0" autoFill="0" autoPict="0" macro="[0]!kopie8">
                <anchor moveWithCells="1" sizeWithCells="1">
                  <from>
                    <xdr:col>12</xdr:col>
                    <xdr:colOff>198120</xdr:colOff>
                    <xdr:row>343</xdr:row>
                    <xdr:rowOff>7620</xdr:rowOff>
                  </from>
                  <to>
                    <xdr:col>14</xdr:col>
                    <xdr:colOff>38100</xdr:colOff>
                    <xdr:row>343</xdr:row>
                    <xdr:rowOff>190500</xdr:rowOff>
                  </to>
                </anchor>
              </controlPr>
            </control>
          </mc:Choice>
        </mc:AlternateContent>
        <mc:AlternateContent xmlns:mc="http://schemas.openxmlformats.org/markup-compatibility/2006">
          <mc:Choice Requires="x14">
            <control shapeId="35" r:id="rId208" name="Button 176">
              <controlPr defaultSize="0" print="0" autoFill="0" autoPict="0" macro="[0]!kopie9">
                <anchor moveWithCells="1" sizeWithCells="1">
                  <from>
                    <xdr:col>14</xdr:col>
                    <xdr:colOff>350520</xdr:colOff>
                    <xdr:row>343</xdr:row>
                    <xdr:rowOff>7620</xdr:rowOff>
                  </from>
                  <to>
                    <xdr:col>15</xdr:col>
                    <xdr:colOff>365760</xdr:colOff>
                    <xdr:row>343</xdr:row>
                    <xdr:rowOff>190500</xdr:rowOff>
                  </to>
                </anchor>
              </controlPr>
            </control>
          </mc:Choice>
        </mc:AlternateContent>
        <mc:AlternateContent xmlns:mc="http://schemas.openxmlformats.org/markup-compatibility/2006">
          <mc:Choice Requires="x14">
            <control shapeId="36" r:id="rId209" name="Button 177">
              <controlPr defaultSize="0" print="0" autoFill="0" autoPict="0" macro="[0]!kopie10">
                <anchor moveWithCells="1" sizeWithCells="1">
                  <from>
                    <xdr:col>16</xdr:col>
                    <xdr:colOff>160020</xdr:colOff>
                    <xdr:row>343</xdr:row>
                    <xdr:rowOff>7620</xdr:rowOff>
                  </from>
                  <to>
                    <xdr:col>17</xdr:col>
                    <xdr:colOff>175260</xdr:colOff>
                    <xdr:row>343</xdr:row>
                    <xdr:rowOff>190500</xdr:rowOff>
                  </to>
                </anchor>
              </controlPr>
            </control>
          </mc:Choice>
        </mc:AlternateContent>
        <mc:AlternateContent xmlns:mc="http://schemas.openxmlformats.org/markup-compatibility/2006">
          <mc:Choice Requires="x14">
            <control shapeId="37" r:id="rId210" name="Button 178">
              <controlPr defaultSize="0" print="0" autoFill="0" autoPict="0" macro="[0]!kopie11">
                <anchor moveWithCells="1" sizeWithCells="1">
                  <from>
                    <xdr:col>17</xdr:col>
                    <xdr:colOff>403860</xdr:colOff>
                    <xdr:row>343</xdr:row>
                    <xdr:rowOff>7620</xdr:rowOff>
                  </from>
                  <to>
                    <xdr:col>19</xdr:col>
                    <xdr:colOff>7620</xdr:colOff>
                    <xdr:row>343</xdr:row>
                    <xdr:rowOff>190500</xdr:rowOff>
                  </to>
                </anchor>
              </controlPr>
            </control>
          </mc:Choice>
        </mc:AlternateContent>
        <mc:AlternateContent xmlns:mc="http://schemas.openxmlformats.org/markup-compatibility/2006">
          <mc:Choice Requires="x14">
            <control shapeId="38" r:id="rId211" name="Button 179">
              <controlPr defaultSize="0" print="0" autoFill="0" autoPict="0" macro="[0]!kopie12">
                <anchor moveWithCells="1" sizeWithCells="1">
                  <from>
                    <xdr:col>19</xdr:col>
                    <xdr:colOff>220980</xdr:colOff>
                    <xdr:row>343</xdr:row>
                    <xdr:rowOff>7620</xdr:rowOff>
                  </from>
                  <to>
                    <xdr:col>20</xdr:col>
                    <xdr:colOff>236220</xdr:colOff>
                    <xdr:row>343</xdr:row>
                    <xdr:rowOff>190500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76200</xdr:colOff>
                    <xdr:row>68</xdr:row>
                    <xdr:rowOff>30480</xdr:rowOff>
                  </from>
                  <to>
                    <xdr:col>5</xdr:col>
                    <xdr:colOff>213360</xdr:colOff>
                    <xdr:row>68</xdr:row>
                    <xdr:rowOff>220980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175260</xdr:colOff>
                    <xdr:row>68</xdr:row>
                    <xdr:rowOff>30480</xdr:rowOff>
                  </from>
                  <to>
                    <xdr:col>8</xdr:col>
                    <xdr:colOff>15240</xdr:colOff>
                    <xdr:row>68</xdr:row>
                    <xdr:rowOff>220980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8</xdr:col>
                    <xdr:colOff>289560</xdr:colOff>
                    <xdr:row>68</xdr:row>
                    <xdr:rowOff>30480</xdr:rowOff>
                  </from>
                  <to>
                    <xdr:col>10</xdr:col>
                    <xdr:colOff>129540</xdr:colOff>
                    <xdr:row>68</xdr:row>
                    <xdr:rowOff>220980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83820</xdr:colOff>
                    <xdr:row>68</xdr:row>
                    <xdr:rowOff>30480</xdr:rowOff>
                  </from>
                  <to>
                    <xdr:col>12</xdr:col>
                    <xdr:colOff>228600</xdr:colOff>
                    <xdr:row>68</xdr:row>
                    <xdr:rowOff>220980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13</xdr:col>
                    <xdr:colOff>266700</xdr:colOff>
                    <xdr:row>68</xdr:row>
                    <xdr:rowOff>30480</xdr:rowOff>
                  </from>
                  <to>
                    <xdr:col>14</xdr:col>
                    <xdr:colOff>403860</xdr:colOff>
                    <xdr:row>68</xdr:row>
                    <xdr:rowOff>220980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297180</xdr:colOff>
                    <xdr:row>68</xdr:row>
                    <xdr:rowOff>30480</xdr:rowOff>
                  </from>
                  <to>
                    <xdr:col>16</xdr:col>
                    <xdr:colOff>312420</xdr:colOff>
                    <xdr:row>68</xdr:row>
                    <xdr:rowOff>220980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106680</xdr:colOff>
                    <xdr:row>68</xdr:row>
                    <xdr:rowOff>30480</xdr:rowOff>
                  </from>
                  <to>
                    <xdr:col>18</xdr:col>
                    <xdr:colOff>121920</xdr:colOff>
                    <xdr:row>68</xdr:row>
                    <xdr:rowOff>220980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350520</xdr:colOff>
                    <xdr:row>68</xdr:row>
                    <xdr:rowOff>30480</xdr:rowOff>
                  </from>
                  <to>
                    <xdr:col>19</xdr:col>
                    <xdr:colOff>373380</xdr:colOff>
                    <xdr:row>68</xdr:row>
                    <xdr:rowOff>220980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167640</xdr:colOff>
                    <xdr:row>68</xdr:row>
                    <xdr:rowOff>30480</xdr:rowOff>
                  </from>
                  <to>
                    <xdr:col>21</xdr:col>
                    <xdr:colOff>182880</xdr:colOff>
                    <xdr:row>68</xdr:row>
                    <xdr:rowOff>220980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dimension ref="A1:U77"/>
  <sheetViews>
    <sheetView topLeftCell="A34" zoomScale="115" zoomScaleNormal="115" workbookViewId="0">
      <selection activeCell="M48" sqref="M48"/>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customWidth="1"/>
    <col min="13" max="13" width="13.33203125" customWidth="1"/>
    <col min="14" max="14" width="10.6640625" customWidth="1"/>
    <col min="15" max="15" width="11.33203125" customWidth="1"/>
    <col min="16" max="16" width="12.88671875" customWidth="1"/>
    <col min="17" max="17" width="12.33203125" customWidth="1"/>
    <col min="18" max="18" width="8.88671875" customWidth="1"/>
    <col min="19" max="19" width="9.109375" customWidth="1"/>
  </cols>
  <sheetData>
    <row r="1" spans="1:21" x14ac:dyDescent="0.3">
      <c r="A1" t="s">
        <v>53</v>
      </c>
      <c r="B1" t="s">
        <v>55</v>
      </c>
      <c r="C1" t="s">
        <v>668</v>
      </c>
      <c r="D1" t="s">
        <v>669</v>
      </c>
      <c r="E1" t="s">
        <v>670</v>
      </c>
      <c r="F1" t="s">
        <v>671</v>
      </c>
      <c r="G1" t="s">
        <v>672</v>
      </c>
      <c r="H1" t="s">
        <v>673</v>
      </c>
      <c r="I1" t="s">
        <v>674</v>
      </c>
      <c r="J1" t="s">
        <v>762</v>
      </c>
      <c r="K1" t="s">
        <v>675</v>
      </c>
      <c r="L1" t="s">
        <v>2</v>
      </c>
      <c r="M1" t="s">
        <v>4</v>
      </c>
      <c r="N1" t="s">
        <v>6</v>
      </c>
      <c r="O1" t="s">
        <v>8</v>
      </c>
      <c r="P1" t="s">
        <v>763</v>
      </c>
      <c r="Q1" t="s">
        <v>11</v>
      </c>
      <c r="R1" t="s">
        <v>13</v>
      </c>
      <c r="S1" t="s">
        <v>676</v>
      </c>
      <c r="T1" t="s">
        <v>764</v>
      </c>
      <c r="U1" t="s">
        <v>677</v>
      </c>
    </row>
    <row r="2" spans="1:21" x14ac:dyDescent="0.3">
      <c r="A2" s="1" t="s">
        <v>704</v>
      </c>
      <c r="B2" s="1" t="s">
        <v>165</v>
      </c>
      <c r="C2" s="2" t="s">
        <v>690</v>
      </c>
      <c r="D2" s="2"/>
      <c r="E2" s="2"/>
      <c r="F2" s="2"/>
      <c r="G2" s="3"/>
      <c r="H2" s="4"/>
      <c r="I2" s="144">
        <f t="shared" ref="I2:I34" si="0">J2+K2</f>
        <v>1</v>
      </c>
      <c r="J2" s="145">
        <v>1</v>
      </c>
      <c r="K2" s="5">
        <f t="shared" ref="K2:K34" si="1">SUM(L2:U2)</f>
        <v>0</v>
      </c>
    </row>
    <row r="3" spans="1:21" x14ac:dyDescent="0.3">
      <c r="A3" s="1" t="s">
        <v>722</v>
      </c>
      <c r="B3" s="1" t="s">
        <v>165</v>
      </c>
      <c r="C3" s="6"/>
      <c r="D3" s="6" t="s">
        <v>681</v>
      </c>
      <c r="E3" s="6" t="s">
        <v>690</v>
      </c>
      <c r="F3" s="6"/>
      <c r="G3" s="3" t="s">
        <v>680</v>
      </c>
      <c r="H3" s="4">
        <v>1</v>
      </c>
      <c r="I3" s="144">
        <f t="shared" si="0"/>
        <v>0</v>
      </c>
      <c r="J3" s="145">
        <v>0</v>
      </c>
      <c r="K3" s="5">
        <f t="shared" si="1"/>
        <v>0</v>
      </c>
    </row>
    <row r="4" spans="1:21" x14ac:dyDescent="0.3">
      <c r="A4" s="1" t="s">
        <v>744</v>
      </c>
      <c r="B4" s="1" t="s">
        <v>165</v>
      </c>
      <c r="C4" s="6"/>
      <c r="D4" s="6"/>
      <c r="E4" s="6" t="s">
        <v>690</v>
      </c>
      <c r="F4" s="6"/>
      <c r="G4" s="3" t="s">
        <v>690</v>
      </c>
      <c r="H4" s="4">
        <v>1</v>
      </c>
      <c r="I4" s="144">
        <f t="shared" si="0"/>
        <v>14</v>
      </c>
      <c r="J4" s="145">
        <v>14</v>
      </c>
      <c r="K4" s="5">
        <f t="shared" si="1"/>
        <v>0</v>
      </c>
    </row>
    <row r="5" spans="1:21" x14ac:dyDescent="0.3">
      <c r="A5" s="10" t="s">
        <v>752</v>
      </c>
      <c r="B5" s="1" t="s">
        <v>165</v>
      </c>
      <c r="C5" s="12" t="s">
        <v>679</v>
      </c>
      <c r="D5" s="12"/>
      <c r="E5" s="12"/>
      <c r="F5" s="12"/>
      <c r="G5" s="3"/>
      <c r="H5" s="4"/>
      <c r="I5" s="144">
        <f t="shared" si="0"/>
        <v>1</v>
      </c>
      <c r="J5" s="146">
        <v>1</v>
      </c>
      <c r="K5" s="5">
        <f t="shared" si="1"/>
        <v>0</v>
      </c>
    </row>
    <row r="6" spans="1:21" x14ac:dyDescent="0.3">
      <c r="A6" s="10" t="s">
        <v>754</v>
      </c>
      <c r="B6" s="1" t="s">
        <v>165</v>
      </c>
      <c r="C6" s="12"/>
      <c r="D6" s="12"/>
      <c r="E6" s="12" t="s">
        <v>690</v>
      </c>
      <c r="F6" s="12"/>
      <c r="G6" s="3" t="s">
        <v>680</v>
      </c>
      <c r="H6" s="4">
        <v>1</v>
      </c>
      <c r="I6" s="144">
        <f t="shared" si="0"/>
        <v>3</v>
      </c>
      <c r="J6" s="146">
        <v>3</v>
      </c>
      <c r="K6" s="5">
        <f t="shared" si="1"/>
        <v>0</v>
      </c>
    </row>
    <row r="7" spans="1:21" x14ac:dyDescent="0.3">
      <c r="A7" s="1" t="s">
        <v>689</v>
      </c>
      <c r="B7" s="1" t="s">
        <v>202</v>
      </c>
      <c r="C7" s="2"/>
      <c r="D7" s="2"/>
      <c r="E7" s="2" t="s">
        <v>690</v>
      </c>
      <c r="F7" s="2"/>
      <c r="G7" s="3"/>
      <c r="H7" s="4"/>
      <c r="I7" s="144">
        <f t="shared" si="0"/>
        <v>6</v>
      </c>
      <c r="J7" s="145">
        <v>6</v>
      </c>
      <c r="K7" s="5">
        <f t="shared" si="1"/>
        <v>0</v>
      </c>
    </row>
    <row r="8" spans="1:21" x14ac:dyDescent="0.3">
      <c r="A8" s="1" t="s">
        <v>694</v>
      </c>
      <c r="B8" s="1" t="s">
        <v>202</v>
      </c>
      <c r="C8" s="2" t="s">
        <v>679</v>
      </c>
      <c r="D8" s="2"/>
      <c r="E8" s="2" t="s">
        <v>690</v>
      </c>
      <c r="F8" s="2"/>
      <c r="G8" s="3" t="s">
        <v>690</v>
      </c>
      <c r="H8" s="4">
        <v>2</v>
      </c>
      <c r="I8" s="144">
        <f t="shared" si="0"/>
        <v>1</v>
      </c>
      <c r="J8" s="145">
        <v>1</v>
      </c>
      <c r="K8" s="5">
        <f t="shared" si="1"/>
        <v>0</v>
      </c>
    </row>
    <row r="9" spans="1:21" x14ac:dyDescent="0.3">
      <c r="A9" s="1" t="s">
        <v>707</v>
      </c>
      <c r="B9" s="1" t="s">
        <v>202</v>
      </c>
      <c r="C9" s="2"/>
      <c r="D9" s="2"/>
      <c r="E9" s="2" t="s">
        <v>690</v>
      </c>
      <c r="F9" s="2"/>
      <c r="G9" s="3" t="s">
        <v>680</v>
      </c>
      <c r="H9" s="4">
        <v>1</v>
      </c>
      <c r="I9" s="144">
        <f t="shared" si="0"/>
        <v>1</v>
      </c>
      <c r="J9" s="145">
        <v>1</v>
      </c>
      <c r="K9" s="5">
        <f t="shared" si="1"/>
        <v>0</v>
      </c>
    </row>
    <row r="10" spans="1:21" x14ac:dyDescent="0.3">
      <c r="A10" s="10" t="s">
        <v>725</v>
      </c>
      <c r="B10" s="1" t="s">
        <v>202</v>
      </c>
      <c r="C10" s="13"/>
      <c r="D10" s="13"/>
      <c r="E10" s="13" t="s">
        <v>690</v>
      </c>
      <c r="F10" s="13"/>
      <c r="G10" s="3"/>
      <c r="H10" s="4"/>
      <c r="I10" s="144">
        <f t="shared" si="0"/>
        <v>3</v>
      </c>
      <c r="J10" s="146">
        <v>3</v>
      </c>
      <c r="K10" s="5">
        <f t="shared" si="1"/>
        <v>0</v>
      </c>
    </row>
    <row r="11" spans="1:21" x14ac:dyDescent="0.3">
      <c r="A11" s="10" t="s">
        <v>693</v>
      </c>
      <c r="B11" s="1" t="s">
        <v>142</v>
      </c>
      <c r="C11" s="13" t="s">
        <v>679</v>
      </c>
      <c r="D11" s="13" t="s">
        <v>681</v>
      </c>
      <c r="E11" s="13" t="s">
        <v>690</v>
      </c>
      <c r="F11" s="13"/>
      <c r="G11" s="3"/>
      <c r="H11" s="4">
        <v>2</v>
      </c>
      <c r="I11" s="144">
        <f t="shared" si="0"/>
        <v>27</v>
      </c>
      <c r="J11" s="146">
        <v>26</v>
      </c>
      <c r="K11" s="5">
        <f t="shared" si="1"/>
        <v>1</v>
      </c>
      <c r="M11">
        <v>1</v>
      </c>
    </row>
    <row r="12" spans="1:21" x14ac:dyDescent="0.3">
      <c r="A12" s="241" t="s">
        <v>791</v>
      </c>
      <c r="B12" s="242" t="s">
        <v>142</v>
      </c>
      <c r="C12" s="243" t="s">
        <v>679</v>
      </c>
      <c r="D12" s="243" t="s">
        <v>681</v>
      </c>
      <c r="E12" s="243" t="s">
        <v>690</v>
      </c>
      <c r="F12" s="243"/>
      <c r="G12" s="244"/>
      <c r="H12" s="245"/>
      <c r="I12" s="246">
        <f>J12+K12</f>
        <v>1</v>
      </c>
      <c r="J12" s="247"/>
      <c r="K12" s="5">
        <f>SUM(L12:U12)</f>
        <v>1</v>
      </c>
      <c r="M12">
        <v>1</v>
      </c>
    </row>
    <row r="13" spans="1:21" x14ac:dyDescent="0.3">
      <c r="A13" s="1" t="s">
        <v>711</v>
      </c>
      <c r="B13" s="1" t="s">
        <v>142</v>
      </c>
      <c r="C13" s="2"/>
      <c r="D13" s="2" t="s">
        <v>681</v>
      </c>
      <c r="E13" s="2" t="s">
        <v>690</v>
      </c>
      <c r="F13" s="2"/>
      <c r="G13" s="3"/>
      <c r="H13" s="4">
        <v>2</v>
      </c>
      <c r="I13" s="144">
        <f t="shared" si="0"/>
        <v>1</v>
      </c>
      <c r="J13" s="145">
        <v>1</v>
      </c>
      <c r="K13" s="5">
        <f t="shared" si="1"/>
        <v>0</v>
      </c>
    </row>
    <row r="14" spans="1:21" x14ac:dyDescent="0.3">
      <c r="A14" s="10" t="s">
        <v>731</v>
      </c>
      <c r="B14" s="1" t="s">
        <v>142</v>
      </c>
      <c r="C14" s="12" t="s">
        <v>679</v>
      </c>
      <c r="D14" s="12"/>
      <c r="E14" s="12"/>
      <c r="F14" s="12"/>
      <c r="G14" s="3" t="s">
        <v>680</v>
      </c>
      <c r="H14" s="4">
        <v>1</v>
      </c>
      <c r="I14" s="144">
        <f t="shared" si="0"/>
        <v>5</v>
      </c>
      <c r="J14" s="146">
        <v>5</v>
      </c>
      <c r="K14" s="5">
        <f t="shared" si="1"/>
        <v>0</v>
      </c>
    </row>
    <row r="15" spans="1:21" x14ac:dyDescent="0.3">
      <c r="A15" s="1" t="s">
        <v>742</v>
      </c>
      <c r="B15" s="1" t="s">
        <v>142</v>
      </c>
      <c r="C15" s="2" t="s">
        <v>679</v>
      </c>
      <c r="D15" s="2"/>
      <c r="E15" s="2"/>
      <c r="F15" s="2" t="s">
        <v>698</v>
      </c>
      <c r="G15" s="3" t="s">
        <v>680</v>
      </c>
      <c r="H15" s="4">
        <v>1</v>
      </c>
      <c r="I15" s="144">
        <f t="shared" si="0"/>
        <v>8</v>
      </c>
      <c r="J15" s="145">
        <v>8</v>
      </c>
      <c r="K15" s="5">
        <f t="shared" si="1"/>
        <v>0</v>
      </c>
    </row>
    <row r="16" spans="1:21" x14ac:dyDescent="0.3">
      <c r="A16" s="1" t="s">
        <v>685</v>
      </c>
      <c r="B16" s="1" t="s">
        <v>190</v>
      </c>
      <c r="C16" s="2" t="s">
        <v>679</v>
      </c>
      <c r="D16" s="2"/>
      <c r="E16" s="2"/>
      <c r="F16" s="2"/>
      <c r="G16" s="3" t="s">
        <v>680</v>
      </c>
      <c r="H16" s="4">
        <v>1</v>
      </c>
      <c r="I16" s="144">
        <f t="shared" si="0"/>
        <v>7</v>
      </c>
      <c r="J16" s="145">
        <v>7</v>
      </c>
      <c r="K16" s="5">
        <f t="shared" si="1"/>
        <v>0</v>
      </c>
    </row>
    <row r="17" spans="1:13" x14ac:dyDescent="0.3">
      <c r="A17" s="10" t="s">
        <v>678</v>
      </c>
      <c r="B17" s="1" t="s">
        <v>185</v>
      </c>
      <c r="C17" s="12" t="s">
        <v>679</v>
      </c>
      <c r="D17" s="12"/>
      <c r="E17" s="12"/>
      <c r="F17" s="12"/>
      <c r="G17" s="3" t="s">
        <v>680</v>
      </c>
      <c r="H17" s="4">
        <v>1</v>
      </c>
      <c r="I17" s="144">
        <f t="shared" si="0"/>
        <v>9</v>
      </c>
      <c r="J17" s="146">
        <v>9</v>
      </c>
      <c r="K17" s="5">
        <f t="shared" si="1"/>
        <v>0</v>
      </c>
    </row>
    <row r="18" spans="1:13" x14ac:dyDescent="0.3">
      <c r="A18" s="1" t="s">
        <v>682</v>
      </c>
      <c r="B18" s="1" t="s">
        <v>185</v>
      </c>
      <c r="C18" s="2"/>
      <c r="D18" s="2" t="s">
        <v>681</v>
      </c>
      <c r="E18" s="2"/>
      <c r="F18" s="2"/>
      <c r="G18" s="3" t="s">
        <v>680</v>
      </c>
      <c r="H18" s="4">
        <v>1</v>
      </c>
      <c r="I18" s="144">
        <f t="shared" si="0"/>
        <v>8</v>
      </c>
      <c r="J18" s="145">
        <v>8</v>
      </c>
      <c r="K18" s="5">
        <f t="shared" si="1"/>
        <v>0</v>
      </c>
    </row>
    <row r="19" spans="1:13" x14ac:dyDescent="0.3">
      <c r="A19" s="10" t="s">
        <v>684</v>
      </c>
      <c r="B19" s="1" t="s">
        <v>185</v>
      </c>
      <c r="C19" s="12" t="s">
        <v>679</v>
      </c>
      <c r="D19" s="12"/>
      <c r="E19" s="12"/>
      <c r="F19" s="12"/>
      <c r="G19" s="3"/>
      <c r="H19" s="4"/>
      <c r="I19" s="144">
        <f t="shared" si="0"/>
        <v>1</v>
      </c>
      <c r="J19" s="146">
        <v>1</v>
      </c>
      <c r="K19" s="5">
        <f t="shared" si="1"/>
        <v>0</v>
      </c>
    </row>
    <row r="20" spans="1:13" x14ac:dyDescent="0.3">
      <c r="A20" s="1" t="s">
        <v>687</v>
      </c>
      <c r="B20" s="1" t="s">
        <v>185</v>
      </c>
      <c r="C20" s="2" t="s">
        <v>679</v>
      </c>
      <c r="D20" s="2"/>
      <c r="E20" s="2"/>
      <c r="F20" s="2"/>
      <c r="G20" s="3" t="s">
        <v>680</v>
      </c>
      <c r="H20" s="4">
        <v>1</v>
      </c>
      <c r="I20" s="144">
        <f t="shared" si="0"/>
        <v>4</v>
      </c>
      <c r="J20" s="145">
        <v>4</v>
      </c>
      <c r="K20" s="5">
        <f t="shared" si="1"/>
        <v>0</v>
      </c>
    </row>
    <row r="21" spans="1:13" x14ac:dyDescent="0.3">
      <c r="A21" s="1" t="s">
        <v>695</v>
      </c>
      <c r="B21" s="1" t="s">
        <v>185</v>
      </c>
      <c r="C21" s="6" t="s">
        <v>679</v>
      </c>
      <c r="D21" s="6"/>
      <c r="E21" s="6"/>
      <c r="F21" s="6"/>
      <c r="G21" s="3" t="s">
        <v>680</v>
      </c>
      <c r="H21" s="4">
        <v>1</v>
      </c>
      <c r="I21" s="144">
        <f t="shared" si="0"/>
        <v>16</v>
      </c>
      <c r="J21" s="145">
        <v>15</v>
      </c>
      <c r="K21" s="5">
        <f t="shared" si="1"/>
        <v>1</v>
      </c>
      <c r="M21">
        <v>1</v>
      </c>
    </row>
    <row r="22" spans="1:13" x14ac:dyDescent="0.3">
      <c r="A22" s="1" t="s">
        <v>701</v>
      </c>
      <c r="B22" s="1" t="s">
        <v>185</v>
      </c>
      <c r="C22" s="2"/>
      <c r="D22" s="2" t="s">
        <v>681</v>
      </c>
      <c r="E22" s="2"/>
      <c r="F22" s="2" t="s">
        <v>698</v>
      </c>
      <c r="G22" s="3">
        <v>1</v>
      </c>
      <c r="H22" s="4"/>
      <c r="I22" s="144">
        <f t="shared" si="0"/>
        <v>3</v>
      </c>
      <c r="J22" s="145">
        <v>3</v>
      </c>
      <c r="K22" s="5">
        <f t="shared" si="1"/>
        <v>0</v>
      </c>
    </row>
    <row r="23" spans="1:13" x14ac:dyDescent="0.3">
      <c r="A23" s="1" t="s">
        <v>708</v>
      </c>
      <c r="B23" s="1" t="s">
        <v>185</v>
      </c>
      <c r="C23" s="2" t="s">
        <v>679</v>
      </c>
      <c r="D23" s="2"/>
      <c r="E23" s="2"/>
      <c r="F23" s="2"/>
      <c r="G23" s="3"/>
      <c r="H23" s="4">
        <v>3</v>
      </c>
      <c r="I23" s="144">
        <f t="shared" si="0"/>
        <v>40</v>
      </c>
      <c r="J23" s="145">
        <v>39</v>
      </c>
      <c r="K23" s="5">
        <f t="shared" si="1"/>
        <v>1</v>
      </c>
      <c r="L23">
        <v>1</v>
      </c>
    </row>
    <row r="24" spans="1:13" x14ac:dyDescent="0.3">
      <c r="A24" s="10" t="s">
        <v>688</v>
      </c>
      <c r="B24" s="1" t="s">
        <v>182</v>
      </c>
      <c r="C24" s="12" t="s">
        <v>679</v>
      </c>
      <c r="D24" s="12"/>
      <c r="E24" s="12"/>
      <c r="F24" s="12"/>
      <c r="G24" s="3" t="s">
        <v>680</v>
      </c>
      <c r="H24" s="4">
        <v>1</v>
      </c>
      <c r="I24" s="144">
        <f t="shared" si="0"/>
        <v>1</v>
      </c>
      <c r="J24" s="146">
        <v>1</v>
      </c>
      <c r="K24" s="5">
        <f t="shared" si="1"/>
        <v>0</v>
      </c>
    </row>
    <row r="25" spans="1:13" x14ac:dyDescent="0.3">
      <c r="A25" s="10" t="s">
        <v>692</v>
      </c>
      <c r="B25" s="1" t="s">
        <v>182</v>
      </c>
      <c r="C25" s="12"/>
      <c r="D25" s="12"/>
      <c r="E25" s="12" t="s">
        <v>690</v>
      </c>
      <c r="F25" s="12"/>
      <c r="G25" s="3" t="s">
        <v>680</v>
      </c>
      <c r="H25" s="4">
        <v>1</v>
      </c>
      <c r="I25" s="144">
        <f t="shared" si="0"/>
        <v>2</v>
      </c>
      <c r="J25" s="146">
        <v>2</v>
      </c>
      <c r="K25" s="5">
        <f t="shared" si="1"/>
        <v>0</v>
      </c>
    </row>
    <row r="26" spans="1:13" x14ac:dyDescent="0.3">
      <c r="A26" s="1" t="s">
        <v>686</v>
      </c>
      <c r="B26" s="1" t="s">
        <v>161</v>
      </c>
      <c r="C26" s="6" t="s">
        <v>679</v>
      </c>
      <c r="D26" s="6"/>
      <c r="E26" s="6"/>
      <c r="F26" s="6"/>
      <c r="G26" s="3" t="s">
        <v>680</v>
      </c>
      <c r="H26" s="4">
        <v>1</v>
      </c>
      <c r="I26" s="144">
        <f t="shared" si="0"/>
        <v>3</v>
      </c>
      <c r="J26" s="145">
        <v>3</v>
      </c>
      <c r="K26" s="5">
        <f t="shared" si="1"/>
        <v>0</v>
      </c>
    </row>
    <row r="27" spans="1:13" x14ac:dyDescent="0.3">
      <c r="A27" s="1" t="s">
        <v>699</v>
      </c>
      <c r="B27" s="1" t="s">
        <v>161</v>
      </c>
      <c r="C27" s="6" t="s">
        <v>679</v>
      </c>
      <c r="D27" s="6" t="s">
        <v>681</v>
      </c>
      <c r="E27" s="6" t="s">
        <v>690</v>
      </c>
      <c r="F27" s="6" t="s">
        <v>700</v>
      </c>
      <c r="G27" s="3" t="s">
        <v>690</v>
      </c>
      <c r="H27" s="4">
        <v>4</v>
      </c>
      <c r="I27" s="144">
        <f t="shared" si="0"/>
        <v>30</v>
      </c>
      <c r="J27" s="145">
        <v>30</v>
      </c>
      <c r="K27" s="5">
        <f t="shared" si="1"/>
        <v>0</v>
      </c>
    </row>
    <row r="28" spans="1:13" x14ac:dyDescent="0.3">
      <c r="A28" s="1" t="s">
        <v>734</v>
      </c>
      <c r="B28" s="1" t="s">
        <v>161</v>
      </c>
      <c r="C28" s="6" t="s">
        <v>679</v>
      </c>
      <c r="D28" s="6" t="s">
        <v>681</v>
      </c>
      <c r="E28" s="6" t="s">
        <v>690</v>
      </c>
      <c r="F28" s="6"/>
      <c r="G28" s="3"/>
      <c r="H28" s="4"/>
      <c r="I28" s="144">
        <f t="shared" si="0"/>
        <v>13</v>
      </c>
      <c r="J28" s="145">
        <v>13</v>
      </c>
      <c r="K28" s="5">
        <f t="shared" si="1"/>
        <v>0</v>
      </c>
    </row>
    <row r="29" spans="1:13" x14ac:dyDescent="0.3">
      <c r="A29" s="1" t="s">
        <v>702</v>
      </c>
      <c r="B29" s="1" t="s">
        <v>703</v>
      </c>
      <c r="C29" s="2" t="s">
        <v>679</v>
      </c>
      <c r="D29" s="2" t="s">
        <v>681</v>
      </c>
      <c r="E29" s="2"/>
      <c r="F29" s="2"/>
      <c r="G29" s="3"/>
      <c r="H29" s="4"/>
      <c r="I29" s="144">
        <f t="shared" si="0"/>
        <v>17</v>
      </c>
      <c r="J29" s="145">
        <v>17</v>
      </c>
      <c r="K29" s="5">
        <f t="shared" si="1"/>
        <v>0</v>
      </c>
    </row>
    <row r="30" spans="1:13" x14ac:dyDescent="0.3">
      <c r="A30" s="10" t="s">
        <v>730</v>
      </c>
      <c r="B30" s="1" t="s">
        <v>703</v>
      </c>
      <c r="C30" s="12"/>
      <c r="D30" s="12" t="s">
        <v>681</v>
      </c>
      <c r="E30" s="12"/>
      <c r="F30" s="12"/>
      <c r="G30" s="3" t="s">
        <v>680</v>
      </c>
      <c r="H30" s="4">
        <v>1</v>
      </c>
      <c r="I30" s="144">
        <f t="shared" si="0"/>
        <v>1</v>
      </c>
      <c r="J30" s="146">
        <v>1</v>
      </c>
      <c r="K30" s="5">
        <f t="shared" si="1"/>
        <v>0</v>
      </c>
    </row>
    <row r="31" spans="1:13" x14ac:dyDescent="0.3">
      <c r="A31" s="1" t="s">
        <v>750</v>
      </c>
      <c r="B31" s="1" t="s">
        <v>703</v>
      </c>
      <c r="C31" s="2" t="s">
        <v>679</v>
      </c>
      <c r="D31" s="2"/>
      <c r="E31" s="2"/>
      <c r="F31" s="2"/>
      <c r="G31" s="3" t="s">
        <v>680</v>
      </c>
      <c r="H31" s="4">
        <v>1</v>
      </c>
      <c r="I31" s="144">
        <f t="shared" si="0"/>
        <v>1</v>
      </c>
      <c r="J31" s="145">
        <v>1</v>
      </c>
      <c r="K31" s="5">
        <f t="shared" si="1"/>
        <v>0</v>
      </c>
    </row>
    <row r="32" spans="1:13" x14ac:dyDescent="0.3">
      <c r="A32" s="10" t="s">
        <v>733</v>
      </c>
      <c r="B32" s="1" t="s">
        <v>330</v>
      </c>
      <c r="C32" s="12" t="s">
        <v>679</v>
      </c>
      <c r="D32" s="12"/>
      <c r="E32" s="12"/>
      <c r="F32" s="12"/>
      <c r="G32" s="3" t="s">
        <v>680</v>
      </c>
      <c r="H32" s="4">
        <v>1</v>
      </c>
      <c r="I32" s="144">
        <f t="shared" si="0"/>
        <v>8</v>
      </c>
      <c r="J32" s="146">
        <v>8</v>
      </c>
      <c r="K32" s="5">
        <f t="shared" si="1"/>
        <v>0</v>
      </c>
    </row>
    <row r="33" spans="1:13" x14ac:dyDescent="0.3">
      <c r="A33" s="10" t="s">
        <v>683</v>
      </c>
      <c r="B33" s="1" t="s">
        <v>180</v>
      </c>
      <c r="C33" s="12" t="s">
        <v>679</v>
      </c>
      <c r="D33" s="12" t="s">
        <v>681</v>
      </c>
      <c r="E33" s="12"/>
      <c r="F33" s="12"/>
      <c r="G33" s="3"/>
      <c r="H33" s="4">
        <v>2</v>
      </c>
      <c r="I33" s="144">
        <f t="shared" si="0"/>
        <v>1</v>
      </c>
      <c r="J33" s="146">
        <v>1</v>
      </c>
      <c r="K33" s="5">
        <f t="shared" si="1"/>
        <v>0</v>
      </c>
    </row>
    <row r="34" spans="1:13" x14ac:dyDescent="0.3">
      <c r="A34" s="1" t="s">
        <v>713</v>
      </c>
      <c r="B34" s="1" t="s">
        <v>180</v>
      </c>
      <c r="C34" s="2" t="s">
        <v>679</v>
      </c>
      <c r="D34" s="2" t="s">
        <v>681</v>
      </c>
      <c r="E34" s="2" t="s">
        <v>690</v>
      </c>
      <c r="F34" s="2"/>
      <c r="G34" s="3"/>
      <c r="H34" s="4"/>
      <c r="I34" s="144">
        <f t="shared" si="0"/>
        <v>18</v>
      </c>
      <c r="J34" s="145">
        <v>18</v>
      </c>
      <c r="K34" s="5">
        <f t="shared" si="1"/>
        <v>0</v>
      </c>
    </row>
    <row r="35" spans="1:13" x14ac:dyDescent="0.3">
      <c r="A35" s="1" t="s">
        <v>728</v>
      </c>
      <c r="B35" s="1" t="s">
        <v>180</v>
      </c>
      <c r="C35" s="2" t="s">
        <v>679</v>
      </c>
      <c r="D35" s="2" t="s">
        <v>681</v>
      </c>
      <c r="E35" s="2"/>
      <c r="F35" s="2"/>
      <c r="G35" s="3"/>
      <c r="H35" s="4"/>
      <c r="I35" s="144">
        <f t="shared" ref="I35:I66" si="2">J35+K35</f>
        <v>24</v>
      </c>
      <c r="J35" s="145">
        <v>24</v>
      </c>
      <c r="K35" s="5">
        <f t="shared" ref="K35:K66" si="3">SUM(L35:U35)</f>
        <v>0</v>
      </c>
    </row>
    <row r="36" spans="1:13" x14ac:dyDescent="0.3">
      <c r="A36" s="1" t="s">
        <v>729</v>
      </c>
      <c r="B36" s="1" t="s">
        <v>180</v>
      </c>
      <c r="C36" s="2"/>
      <c r="D36" s="2"/>
      <c r="E36" s="2" t="s">
        <v>690</v>
      </c>
      <c r="F36" s="2"/>
      <c r="G36" s="3"/>
      <c r="H36" s="4"/>
      <c r="I36" s="144">
        <f t="shared" si="2"/>
        <v>2</v>
      </c>
      <c r="J36" s="145">
        <v>2</v>
      </c>
      <c r="K36" s="5">
        <f t="shared" si="3"/>
        <v>0</v>
      </c>
    </row>
    <row r="37" spans="1:13" x14ac:dyDescent="0.3">
      <c r="A37" s="10" t="s">
        <v>747</v>
      </c>
      <c r="B37" s="1" t="s">
        <v>180</v>
      </c>
      <c r="C37" s="12" t="s">
        <v>679</v>
      </c>
      <c r="D37" s="12"/>
      <c r="E37" s="12"/>
      <c r="F37" s="12"/>
      <c r="G37" s="3"/>
      <c r="H37" s="4"/>
      <c r="I37" s="144">
        <f t="shared" si="2"/>
        <v>1</v>
      </c>
      <c r="J37" s="146">
        <v>1</v>
      </c>
      <c r="K37" s="5">
        <f t="shared" si="3"/>
        <v>0</v>
      </c>
    </row>
    <row r="38" spans="1:13" x14ac:dyDescent="0.3">
      <c r="A38" s="1" t="s">
        <v>755</v>
      </c>
      <c r="B38" s="1" t="s">
        <v>159</v>
      </c>
      <c r="C38" s="2"/>
      <c r="D38" s="2" t="s">
        <v>681</v>
      </c>
      <c r="E38" s="2"/>
      <c r="F38" s="2"/>
      <c r="G38" s="3" t="s">
        <v>690</v>
      </c>
      <c r="H38" s="4">
        <v>3</v>
      </c>
      <c r="I38" s="144">
        <f t="shared" si="2"/>
        <v>59</v>
      </c>
      <c r="J38" s="145">
        <v>57</v>
      </c>
      <c r="K38" s="5">
        <f t="shared" si="3"/>
        <v>2</v>
      </c>
      <c r="L38">
        <v>1</v>
      </c>
      <c r="M38">
        <v>1</v>
      </c>
    </row>
    <row r="39" spans="1:13" x14ac:dyDescent="0.3">
      <c r="A39" s="10" t="s">
        <v>691</v>
      </c>
      <c r="B39" s="1" t="s">
        <v>210</v>
      </c>
      <c r="C39" s="12"/>
      <c r="D39" s="12"/>
      <c r="E39" s="12" t="s">
        <v>690</v>
      </c>
      <c r="F39" s="12"/>
      <c r="G39" s="3"/>
      <c r="H39" s="4">
        <v>1</v>
      </c>
      <c r="I39" s="144">
        <f t="shared" si="2"/>
        <v>1</v>
      </c>
      <c r="J39" s="146">
        <v>1</v>
      </c>
      <c r="K39" s="5">
        <f t="shared" si="3"/>
        <v>0</v>
      </c>
    </row>
    <row r="40" spans="1:13" x14ac:dyDescent="0.3">
      <c r="A40" s="10" t="s">
        <v>718</v>
      </c>
      <c r="B40" s="1" t="s">
        <v>210</v>
      </c>
      <c r="C40" s="12"/>
      <c r="D40" s="12"/>
      <c r="E40" s="12" t="s">
        <v>690</v>
      </c>
      <c r="F40" s="12" t="s">
        <v>698</v>
      </c>
      <c r="G40" s="3"/>
      <c r="H40" s="4"/>
      <c r="I40" s="144">
        <f t="shared" si="2"/>
        <v>7</v>
      </c>
      <c r="J40" s="146">
        <v>6</v>
      </c>
      <c r="K40" s="5">
        <f t="shared" si="3"/>
        <v>1</v>
      </c>
      <c r="M40">
        <v>1</v>
      </c>
    </row>
    <row r="41" spans="1:13" x14ac:dyDescent="0.3">
      <c r="A41" s="1" t="s">
        <v>723</v>
      </c>
      <c r="B41" s="1" t="s">
        <v>210</v>
      </c>
      <c r="C41" s="2"/>
      <c r="D41" s="2"/>
      <c r="E41" s="2" t="s">
        <v>690</v>
      </c>
      <c r="F41" s="2"/>
      <c r="G41" s="3"/>
      <c r="H41" s="4"/>
      <c r="I41" s="144">
        <f t="shared" si="2"/>
        <v>6</v>
      </c>
      <c r="J41" s="145">
        <v>6</v>
      </c>
      <c r="K41" s="5">
        <f t="shared" si="3"/>
        <v>0</v>
      </c>
    </row>
    <row r="42" spans="1:13" x14ac:dyDescent="0.3">
      <c r="A42" s="1" t="s">
        <v>736</v>
      </c>
      <c r="B42" s="1" t="s">
        <v>210</v>
      </c>
      <c r="C42" s="2"/>
      <c r="D42" s="2"/>
      <c r="E42" s="2" t="s">
        <v>690</v>
      </c>
      <c r="F42" s="2"/>
      <c r="G42" s="3"/>
      <c r="H42" s="4"/>
      <c r="I42" s="144">
        <f t="shared" si="2"/>
        <v>2</v>
      </c>
      <c r="J42" s="145">
        <v>1</v>
      </c>
      <c r="K42" s="5">
        <f t="shared" si="3"/>
        <v>1</v>
      </c>
      <c r="L42">
        <v>1</v>
      </c>
    </row>
    <row r="43" spans="1:13" x14ac:dyDescent="0.3">
      <c r="A43" s="1" t="s">
        <v>716</v>
      </c>
      <c r="B43" s="1" t="s">
        <v>275</v>
      </c>
      <c r="C43" s="6"/>
      <c r="D43" s="6"/>
      <c r="E43" s="6" t="s">
        <v>690</v>
      </c>
      <c r="F43" s="6"/>
      <c r="G43" s="3" t="s">
        <v>680</v>
      </c>
      <c r="H43" s="4">
        <v>1</v>
      </c>
      <c r="I43" s="144">
        <f t="shared" si="2"/>
        <v>2</v>
      </c>
      <c r="J43" s="145">
        <v>2</v>
      </c>
      <c r="K43" s="5">
        <f t="shared" si="3"/>
        <v>0</v>
      </c>
    </row>
    <row r="44" spans="1:13" x14ac:dyDescent="0.3">
      <c r="A44" s="10" t="s">
        <v>726</v>
      </c>
      <c r="B44" s="1" t="s">
        <v>275</v>
      </c>
      <c r="C44" s="12"/>
      <c r="D44" s="12"/>
      <c r="E44" s="12" t="s">
        <v>690</v>
      </c>
      <c r="F44" s="12"/>
      <c r="G44" s="3"/>
      <c r="H44" s="4">
        <v>2</v>
      </c>
      <c r="I44" s="144">
        <f t="shared" si="2"/>
        <v>12</v>
      </c>
      <c r="J44" s="146">
        <v>11</v>
      </c>
      <c r="K44" s="5">
        <f t="shared" si="3"/>
        <v>1</v>
      </c>
      <c r="L44">
        <v>1</v>
      </c>
    </row>
    <row r="45" spans="1:13" x14ac:dyDescent="0.3">
      <c r="A45" s="10" t="s">
        <v>735</v>
      </c>
      <c r="B45" s="11" t="s">
        <v>275</v>
      </c>
      <c r="C45" s="13"/>
      <c r="D45" s="13"/>
      <c r="E45" s="13" t="s">
        <v>690</v>
      </c>
      <c r="F45" s="13"/>
      <c r="G45" s="3"/>
      <c r="H45" s="4"/>
      <c r="I45" s="144">
        <f t="shared" si="2"/>
        <v>11</v>
      </c>
      <c r="J45" s="146">
        <v>11</v>
      </c>
      <c r="K45" s="5">
        <f t="shared" si="3"/>
        <v>0</v>
      </c>
    </row>
    <row r="46" spans="1:13" x14ac:dyDescent="0.3">
      <c r="A46" s="10" t="s">
        <v>746</v>
      </c>
      <c r="B46" s="11" t="s">
        <v>275</v>
      </c>
      <c r="C46" s="12"/>
      <c r="D46" s="12"/>
      <c r="E46" s="12"/>
      <c r="F46" s="12" t="s">
        <v>698</v>
      </c>
      <c r="G46" s="3"/>
      <c r="H46" s="4">
        <v>1</v>
      </c>
      <c r="I46" s="144">
        <f t="shared" si="2"/>
        <v>7</v>
      </c>
      <c r="J46" s="146">
        <v>7</v>
      </c>
      <c r="K46" s="5">
        <f t="shared" si="3"/>
        <v>0</v>
      </c>
    </row>
    <row r="47" spans="1:13" x14ac:dyDescent="0.3">
      <c r="A47" s="10" t="s">
        <v>756</v>
      </c>
      <c r="B47" s="11" t="s">
        <v>275</v>
      </c>
      <c r="C47" s="13"/>
      <c r="D47" s="13"/>
      <c r="E47" s="13" t="s">
        <v>690</v>
      </c>
      <c r="F47" s="13"/>
      <c r="G47" s="3" t="s">
        <v>680</v>
      </c>
      <c r="H47" s="4">
        <v>1</v>
      </c>
      <c r="I47" s="144">
        <f t="shared" si="2"/>
        <v>7</v>
      </c>
      <c r="J47" s="146">
        <v>6</v>
      </c>
      <c r="K47" s="5">
        <f t="shared" si="3"/>
        <v>1</v>
      </c>
      <c r="M47">
        <v>1</v>
      </c>
    </row>
    <row r="48" spans="1:13" x14ac:dyDescent="0.3">
      <c r="A48" s="10" t="s">
        <v>737</v>
      </c>
      <c r="B48" s="11" t="s">
        <v>738</v>
      </c>
      <c r="C48" s="13"/>
      <c r="D48" s="13"/>
      <c r="E48" s="13" t="s">
        <v>690</v>
      </c>
      <c r="F48" s="13"/>
      <c r="G48" s="3" t="s">
        <v>690</v>
      </c>
      <c r="H48" s="4">
        <v>3</v>
      </c>
      <c r="I48" s="144">
        <f t="shared" si="2"/>
        <v>1</v>
      </c>
      <c r="J48" s="146">
        <v>1</v>
      </c>
      <c r="K48" s="5">
        <f t="shared" si="3"/>
        <v>0</v>
      </c>
    </row>
    <row r="49" spans="1:12" x14ac:dyDescent="0.3">
      <c r="A49" s="10" t="s">
        <v>745</v>
      </c>
      <c r="B49" s="1" t="s">
        <v>738</v>
      </c>
      <c r="C49" s="12"/>
      <c r="D49" s="12"/>
      <c r="E49" s="12"/>
      <c r="F49" s="12"/>
      <c r="G49" s="3" t="s">
        <v>690</v>
      </c>
      <c r="H49" s="4">
        <v>3</v>
      </c>
      <c r="I49" s="144">
        <f t="shared" si="2"/>
        <v>1</v>
      </c>
      <c r="J49" s="146">
        <v>1</v>
      </c>
      <c r="K49" s="5">
        <f t="shared" si="3"/>
        <v>0</v>
      </c>
    </row>
    <row r="50" spans="1:12" x14ac:dyDescent="0.3">
      <c r="A50" s="10" t="s">
        <v>743</v>
      </c>
      <c r="B50" s="1" t="s">
        <v>192</v>
      </c>
      <c r="C50" s="12"/>
      <c r="D50" s="12"/>
      <c r="E50" s="12" t="s">
        <v>690</v>
      </c>
      <c r="F50" s="12"/>
      <c r="G50" s="3"/>
      <c r="H50" s="4"/>
      <c r="I50" s="144">
        <f t="shared" si="2"/>
        <v>1</v>
      </c>
      <c r="J50" s="146">
        <v>1</v>
      </c>
      <c r="K50" s="5">
        <f t="shared" si="3"/>
        <v>0</v>
      </c>
    </row>
    <row r="51" spans="1:12" x14ac:dyDescent="0.3">
      <c r="A51" s="10" t="s">
        <v>709</v>
      </c>
      <c r="B51" s="1" t="s">
        <v>710</v>
      </c>
      <c r="C51" s="12"/>
      <c r="D51" s="12" t="s">
        <v>681</v>
      </c>
      <c r="E51" s="12"/>
      <c r="F51" s="12" t="s">
        <v>698</v>
      </c>
      <c r="G51" s="3"/>
      <c r="H51" s="4">
        <v>2</v>
      </c>
      <c r="I51" s="144">
        <f t="shared" si="2"/>
        <v>1</v>
      </c>
      <c r="J51" s="146">
        <v>1</v>
      </c>
      <c r="K51" s="5">
        <f t="shared" si="3"/>
        <v>0</v>
      </c>
    </row>
    <row r="52" spans="1:12" x14ac:dyDescent="0.3">
      <c r="A52" s="10" t="s">
        <v>714</v>
      </c>
      <c r="B52" s="11" t="s">
        <v>715</v>
      </c>
      <c r="C52" s="13"/>
      <c r="D52" s="13"/>
      <c r="E52" s="13" t="s">
        <v>690</v>
      </c>
      <c r="F52" s="13"/>
      <c r="G52" s="3"/>
      <c r="H52" s="4"/>
      <c r="I52" s="144">
        <f t="shared" si="2"/>
        <v>30</v>
      </c>
      <c r="J52" s="146">
        <v>29</v>
      </c>
      <c r="K52" s="5">
        <f t="shared" si="3"/>
        <v>1</v>
      </c>
      <c r="L52">
        <v>1</v>
      </c>
    </row>
    <row r="53" spans="1:12" x14ac:dyDescent="0.3">
      <c r="A53" s="10" t="s">
        <v>741</v>
      </c>
      <c r="B53" s="11" t="s">
        <v>171</v>
      </c>
      <c r="C53" s="12"/>
      <c r="D53" s="12" t="s">
        <v>681</v>
      </c>
      <c r="E53" s="12"/>
      <c r="F53" s="12"/>
      <c r="G53" s="3"/>
      <c r="H53" s="4"/>
      <c r="I53" s="144">
        <f t="shared" si="2"/>
        <v>24</v>
      </c>
      <c r="J53" s="146">
        <v>24</v>
      </c>
      <c r="K53" s="5">
        <f t="shared" si="3"/>
        <v>0</v>
      </c>
    </row>
    <row r="54" spans="1:12" x14ac:dyDescent="0.3">
      <c r="A54" s="10" t="s">
        <v>758</v>
      </c>
      <c r="B54" s="11" t="s">
        <v>171</v>
      </c>
      <c r="C54" s="12" t="s">
        <v>679</v>
      </c>
      <c r="D54" s="12"/>
      <c r="E54" s="12"/>
      <c r="F54" s="12"/>
      <c r="G54" s="3">
        <v>3</v>
      </c>
      <c r="H54" s="4"/>
      <c r="I54" s="144">
        <f t="shared" si="2"/>
        <v>1</v>
      </c>
      <c r="J54" s="146">
        <v>1</v>
      </c>
      <c r="K54" s="5">
        <f t="shared" si="3"/>
        <v>0</v>
      </c>
    </row>
    <row r="55" spans="1:12" x14ac:dyDescent="0.3">
      <c r="A55" s="10" t="s">
        <v>696</v>
      </c>
      <c r="B55" s="1" t="s">
        <v>149</v>
      </c>
      <c r="C55" s="12"/>
      <c r="D55" s="12" t="s">
        <v>681</v>
      </c>
      <c r="E55" s="12"/>
      <c r="F55" s="12"/>
      <c r="G55" s="3" t="s">
        <v>680</v>
      </c>
      <c r="H55" s="4">
        <v>2</v>
      </c>
      <c r="I55" s="144">
        <f t="shared" si="2"/>
        <v>1</v>
      </c>
      <c r="J55" s="146">
        <v>1</v>
      </c>
      <c r="K55" s="5">
        <f t="shared" si="3"/>
        <v>0</v>
      </c>
    </row>
    <row r="56" spans="1:12" x14ac:dyDescent="0.3">
      <c r="A56" s="10" t="s">
        <v>712</v>
      </c>
      <c r="B56" s="11" t="s">
        <v>149</v>
      </c>
      <c r="C56" s="12"/>
      <c r="D56" s="12" t="s">
        <v>681</v>
      </c>
      <c r="E56" s="12"/>
      <c r="F56" s="12" t="s">
        <v>698</v>
      </c>
      <c r="G56" s="3"/>
      <c r="H56" s="4">
        <v>1</v>
      </c>
      <c r="I56" s="144">
        <f t="shared" si="2"/>
        <v>2</v>
      </c>
      <c r="J56" s="146">
        <v>2</v>
      </c>
      <c r="K56" s="5">
        <f t="shared" si="3"/>
        <v>0</v>
      </c>
    </row>
    <row r="57" spans="1:12" x14ac:dyDescent="0.3">
      <c r="A57" s="10" t="s">
        <v>717</v>
      </c>
      <c r="B57" s="11" t="s">
        <v>149</v>
      </c>
      <c r="C57" s="12" t="s">
        <v>679</v>
      </c>
      <c r="D57" s="12"/>
      <c r="E57" s="12"/>
      <c r="F57" s="12" t="s">
        <v>698</v>
      </c>
      <c r="G57" s="3"/>
      <c r="H57" s="4"/>
      <c r="I57" s="144">
        <f t="shared" si="2"/>
        <v>5</v>
      </c>
      <c r="J57" s="146">
        <v>5</v>
      </c>
      <c r="K57" s="5">
        <f t="shared" si="3"/>
        <v>0</v>
      </c>
    </row>
    <row r="58" spans="1:12" x14ac:dyDescent="0.3">
      <c r="A58" s="195" t="s">
        <v>724</v>
      </c>
      <c r="B58" s="196" t="s">
        <v>149</v>
      </c>
      <c r="C58" s="197"/>
      <c r="D58" s="197" t="s">
        <v>681</v>
      </c>
      <c r="E58" s="197"/>
      <c r="F58" s="197"/>
      <c r="G58" s="7"/>
      <c r="H58" s="8"/>
      <c r="I58" s="144">
        <f t="shared" si="2"/>
        <v>5</v>
      </c>
      <c r="J58" s="198">
        <v>5</v>
      </c>
      <c r="K58" s="9">
        <f t="shared" si="3"/>
        <v>0</v>
      </c>
    </row>
    <row r="59" spans="1:12" x14ac:dyDescent="0.3">
      <c r="A59" s="1" t="s">
        <v>751</v>
      </c>
      <c r="B59" s="1" t="s">
        <v>149</v>
      </c>
      <c r="C59" s="2"/>
      <c r="D59" s="2" t="s">
        <v>681</v>
      </c>
      <c r="E59" s="2"/>
      <c r="F59" s="2" t="s">
        <v>698</v>
      </c>
      <c r="G59" s="3"/>
      <c r="H59" s="4">
        <v>1</v>
      </c>
      <c r="I59" s="144">
        <f t="shared" si="2"/>
        <v>1</v>
      </c>
      <c r="J59" s="145">
        <v>1</v>
      </c>
      <c r="K59" s="5">
        <f t="shared" si="3"/>
        <v>0</v>
      </c>
    </row>
    <row r="60" spans="1:12" x14ac:dyDescent="0.3">
      <c r="A60" s="10" t="s">
        <v>753</v>
      </c>
      <c r="B60" s="1" t="s">
        <v>149</v>
      </c>
      <c r="C60" s="12"/>
      <c r="D60" s="12" t="s">
        <v>681</v>
      </c>
      <c r="E60" s="12"/>
      <c r="F60" s="12"/>
      <c r="G60" s="3"/>
      <c r="H60" s="4">
        <v>1</v>
      </c>
      <c r="I60" s="144">
        <f t="shared" si="2"/>
        <v>1</v>
      </c>
      <c r="J60" s="146">
        <v>1</v>
      </c>
      <c r="K60" s="5">
        <f t="shared" si="3"/>
        <v>0</v>
      </c>
    </row>
    <row r="61" spans="1:12" x14ac:dyDescent="0.3">
      <c r="A61" s="1" t="s">
        <v>706</v>
      </c>
      <c r="B61" s="1" t="s">
        <v>151</v>
      </c>
      <c r="C61" s="6" t="s">
        <v>679</v>
      </c>
      <c r="D61" s="6"/>
      <c r="E61" s="6"/>
      <c r="F61" s="6"/>
      <c r="G61" s="3" t="s">
        <v>690</v>
      </c>
      <c r="H61" s="4">
        <v>1</v>
      </c>
      <c r="I61" s="144">
        <f t="shared" si="2"/>
        <v>9</v>
      </c>
      <c r="J61" s="145">
        <v>9</v>
      </c>
      <c r="K61" s="5">
        <f t="shared" si="3"/>
        <v>0</v>
      </c>
    </row>
    <row r="62" spans="1:12" x14ac:dyDescent="0.3">
      <c r="A62" s="1" t="s">
        <v>732</v>
      </c>
      <c r="B62" s="1" t="s">
        <v>151</v>
      </c>
      <c r="C62" s="6" t="s">
        <v>679</v>
      </c>
      <c r="D62" s="6"/>
      <c r="E62" s="6"/>
      <c r="F62" s="6"/>
      <c r="G62" s="3"/>
      <c r="H62" s="4"/>
      <c r="I62" s="144">
        <f t="shared" si="2"/>
        <v>61</v>
      </c>
      <c r="J62" s="145">
        <v>61</v>
      </c>
      <c r="K62" s="5">
        <f t="shared" si="3"/>
        <v>0</v>
      </c>
    </row>
    <row r="63" spans="1:12" x14ac:dyDescent="0.3">
      <c r="A63" s="1" t="s">
        <v>748</v>
      </c>
      <c r="B63" s="1" t="s">
        <v>151</v>
      </c>
      <c r="C63" s="2"/>
      <c r="D63" s="2" t="s">
        <v>681</v>
      </c>
      <c r="E63" s="2"/>
      <c r="F63" s="2" t="s">
        <v>698</v>
      </c>
      <c r="G63" s="3"/>
      <c r="H63" s="4">
        <v>1</v>
      </c>
      <c r="I63" s="144">
        <f t="shared" si="2"/>
        <v>3</v>
      </c>
      <c r="J63" s="145">
        <v>3</v>
      </c>
      <c r="K63" s="5">
        <f t="shared" si="3"/>
        <v>0</v>
      </c>
    </row>
    <row r="64" spans="1:12" x14ac:dyDescent="0.3">
      <c r="A64" s="1" t="s">
        <v>782</v>
      </c>
      <c r="B64" s="1" t="s">
        <v>177</v>
      </c>
      <c r="C64" s="6" t="s">
        <v>679</v>
      </c>
      <c r="D64" s="6"/>
      <c r="E64" s="6" t="s">
        <v>690</v>
      </c>
      <c r="F64" s="6"/>
      <c r="G64" s="3"/>
      <c r="H64" s="4">
        <v>1</v>
      </c>
      <c r="I64" s="144">
        <f t="shared" si="2"/>
        <v>1</v>
      </c>
      <c r="J64" s="145"/>
      <c r="K64" s="5">
        <f t="shared" si="3"/>
        <v>1</v>
      </c>
      <c r="L64">
        <v>1</v>
      </c>
    </row>
    <row r="65" spans="1:21" x14ac:dyDescent="0.3">
      <c r="A65" s="10" t="s">
        <v>705</v>
      </c>
      <c r="B65" s="1" t="s">
        <v>147</v>
      </c>
      <c r="C65" s="13" t="s">
        <v>679</v>
      </c>
      <c r="D65" s="13"/>
      <c r="E65" s="13"/>
      <c r="F65" s="13" t="s">
        <v>698</v>
      </c>
      <c r="G65" s="3"/>
      <c r="H65" s="4"/>
      <c r="I65" s="144">
        <f t="shared" si="2"/>
        <v>21</v>
      </c>
      <c r="J65" s="146">
        <v>21</v>
      </c>
      <c r="K65" s="5">
        <f t="shared" si="3"/>
        <v>0</v>
      </c>
    </row>
    <row r="66" spans="1:21" x14ac:dyDescent="0.3">
      <c r="A66" s="1" t="s">
        <v>720</v>
      </c>
      <c r="B66" s="1" t="s">
        <v>147</v>
      </c>
      <c r="C66" s="2"/>
      <c r="D66" s="2" t="s">
        <v>681</v>
      </c>
      <c r="E66" s="2"/>
      <c r="F66" s="2" t="s">
        <v>698</v>
      </c>
      <c r="G66" s="3"/>
      <c r="H66" s="4">
        <v>1</v>
      </c>
      <c r="I66" s="144">
        <f t="shared" si="2"/>
        <v>6</v>
      </c>
      <c r="J66" s="145">
        <v>5</v>
      </c>
      <c r="K66" s="5">
        <f t="shared" si="3"/>
        <v>1</v>
      </c>
      <c r="L66">
        <v>1</v>
      </c>
    </row>
    <row r="67" spans="1:21" x14ac:dyDescent="0.3">
      <c r="A67" s="10" t="s">
        <v>721</v>
      </c>
      <c r="B67" s="1" t="s">
        <v>147</v>
      </c>
      <c r="C67" s="12"/>
      <c r="D67" s="12" t="s">
        <v>681</v>
      </c>
      <c r="E67" s="12"/>
      <c r="F67" s="12" t="s">
        <v>698</v>
      </c>
      <c r="G67" s="3"/>
      <c r="H67" s="4">
        <v>1</v>
      </c>
      <c r="I67" s="144">
        <f t="shared" ref="I67:I73" si="4">J67+K67</f>
        <v>6</v>
      </c>
      <c r="J67" s="146">
        <v>5</v>
      </c>
      <c r="K67" s="5">
        <f t="shared" ref="K67:K76" si="5">SUM(L67:U67)</f>
        <v>1</v>
      </c>
      <c r="L67">
        <v>1</v>
      </c>
    </row>
    <row r="68" spans="1:21" x14ac:dyDescent="0.3">
      <c r="A68" s="10" t="s">
        <v>727</v>
      </c>
      <c r="B68" s="1" t="s">
        <v>147</v>
      </c>
      <c r="C68" s="13" t="s">
        <v>679</v>
      </c>
      <c r="D68" s="13" t="s">
        <v>681</v>
      </c>
      <c r="E68" s="13"/>
      <c r="F68" s="13"/>
      <c r="G68" s="3"/>
      <c r="H68" s="4"/>
      <c r="I68" s="144">
        <f t="shared" si="4"/>
        <v>53</v>
      </c>
      <c r="J68" s="146">
        <v>52</v>
      </c>
      <c r="K68" s="5">
        <f t="shared" si="5"/>
        <v>1</v>
      </c>
      <c r="M68">
        <v>1</v>
      </c>
    </row>
    <row r="69" spans="1:21" x14ac:dyDescent="0.3">
      <c r="A69" s="10" t="s">
        <v>739</v>
      </c>
      <c r="B69" s="1" t="s">
        <v>147</v>
      </c>
      <c r="C69" s="13" t="s">
        <v>679</v>
      </c>
      <c r="D69" s="13"/>
      <c r="E69" s="13"/>
      <c r="F69" s="13"/>
      <c r="G69" s="3" t="s">
        <v>740</v>
      </c>
      <c r="H69" s="4"/>
      <c r="I69" s="144">
        <f t="shared" si="4"/>
        <v>9</v>
      </c>
      <c r="J69" s="146">
        <v>7</v>
      </c>
      <c r="K69" s="5">
        <f t="shared" si="5"/>
        <v>2</v>
      </c>
      <c r="L69">
        <v>1</v>
      </c>
      <c r="M69">
        <v>1</v>
      </c>
    </row>
    <row r="70" spans="1:21" x14ac:dyDescent="0.3">
      <c r="A70" s="10" t="s">
        <v>749</v>
      </c>
      <c r="B70" s="1" t="s">
        <v>147</v>
      </c>
      <c r="C70" s="12" t="s">
        <v>679</v>
      </c>
      <c r="D70" s="12"/>
      <c r="E70" s="12"/>
      <c r="F70" s="12" t="s">
        <v>698</v>
      </c>
      <c r="G70" s="3" t="s">
        <v>680</v>
      </c>
      <c r="H70" s="4">
        <v>2</v>
      </c>
      <c r="I70" s="144">
        <f t="shared" si="4"/>
        <v>3</v>
      </c>
      <c r="J70" s="146">
        <v>2</v>
      </c>
      <c r="K70" s="5">
        <f t="shared" si="5"/>
        <v>1</v>
      </c>
      <c r="L70">
        <v>1</v>
      </c>
    </row>
    <row r="71" spans="1:21" x14ac:dyDescent="0.3">
      <c r="A71" s="10" t="s">
        <v>757</v>
      </c>
      <c r="B71" s="1" t="s">
        <v>147</v>
      </c>
      <c r="C71" s="12" t="s">
        <v>679</v>
      </c>
      <c r="D71" s="12" t="s">
        <v>681</v>
      </c>
      <c r="E71" s="12"/>
      <c r="F71" s="12"/>
      <c r="G71" s="3" t="s">
        <v>690</v>
      </c>
      <c r="H71" s="4">
        <v>1</v>
      </c>
      <c r="I71" s="144">
        <f t="shared" si="4"/>
        <v>44</v>
      </c>
      <c r="J71" s="146">
        <v>42</v>
      </c>
      <c r="K71" s="5">
        <f t="shared" si="5"/>
        <v>2</v>
      </c>
      <c r="L71">
        <v>1</v>
      </c>
      <c r="M71">
        <v>1</v>
      </c>
    </row>
    <row r="72" spans="1:21" x14ac:dyDescent="0.3">
      <c r="A72" s="10" t="s">
        <v>719</v>
      </c>
      <c r="B72" s="1" t="s">
        <v>174</v>
      </c>
      <c r="C72" s="12"/>
      <c r="D72" s="12"/>
      <c r="E72" s="12" t="s">
        <v>690</v>
      </c>
      <c r="F72" s="12"/>
      <c r="G72" s="3" t="s">
        <v>690</v>
      </c>
      <c r="H72" s="4">
        <v>1</v>
      </c>
      <c r="I72" s="144">
        <f t="shared" si="4"/>
        <v>45</v>
      </c>
      <c r="J72" s="146">
        <v>45</v>
      </c>
      <c r="K72" s="5">
        <f t="shared" si="5"/>
        <v>0</v>
      </c>
    </row>
    <row r="73" spans="1:21" x14ac:dyDescent="0.3">
      <c r="A73" s="10" t="s">
        <v>697</v>
      </c>
      <c r="B73" s="1"/>
      <c r="C73" s="12"/>
      <c r="D73" s="12" t="s">
        <v>681</v>
      </c>
      <c r="E73" s="12"/>
      <c r="F73" s="12" t="s">
        <v>698</v>
      </c>
      <c r="G73" s="3"/>
      <c r="H73" s="4">
        <v>1</v>
      </c>
      <c r="I73" s="144">
        <f t="shared" si="4"/>
        <v>1</v>
      </c>
      <c r="J73" s="146">
        <v>1</v>
      </c>
      <c r="K73" s="5">
        <f t="shared" si="5"/>
        <v>0</v>
      </c>
    </row>
    <row r="74" spans="1:21" x14ac:dyDescent="0.3">
      <c r="A74" s="10"/>
      <c r="B74" s="1"/>
      <c r="C74" s="13"/>
      <c r="D74" s="13"/>
      <c r="E74" s="12"/>
      <c r="F74" s="12"/>
      <c r="G74" s="3"/>
      <c r="H74" s="4"/>
      <c r="I74" s="144"/>
      <c r="J74" s="146"/>
      <c r="K74" s="5">
        <f t="shared" si="5"/>
        <v>0</v>
      </c>
    </row>
    <row r="75" spans="1:21" x14ac:dyDescent="0.3">
      <c r="A75" s="10"/>
      <c r="B75" s="1"/>
      <c r="C75" s="13"/>
      <c r="D75" s="13"/>
      <c r="E75" s="13"/>
      <c r="F75" s="13"/>
      <c r="G75" s="3"/>
      <c r="H75" s="4"/>
      <c r="I75" s="144"/>
      <c r="J75" s="146"/>
      <c r="K75" s="5">
        <f t="shared" si="5"/>
        <v>0</v>
      </c>
    </row>
    <row r="76" spans="1:21" x14ac:dyDescent="0.3">
      <c r="A76" s="10"/>
      <c r="B76" s="1"/>
      <c r="C76" s="13"/>
      <c r="D76" s="13"/>
      <c r="E76" s="13"/>
      <c r="F76" s="13"/>
      <c r="G76" s="3"/>
      <c r="H76" s="4"/>
      <c r="I76" s="144"/>
      <c r="J76" s="146"/>
      <c r="K76" s="5">
        <f t="shared" si="5"/>
        <v>0</v>
      </c>
    </row>
    <row r="77" spans="1:21" x14ac:dyDescent="0.3">
      <c r="A77" s="15" t="s">
        <v>759</v>
      </c>
      <c r="B77" s="16">
        <f>SUBTOTAL(103,Tabel1[Vereniging])</f>
        <v>71</v>
      </c>
      <c r="C77" s="17"/>
      <c r="D77" s="17"/>
      <c r="E77" s="17"/>
      <c r="F77" s="17"/>
      <c r="G77" s="18"/>
      <c r="H77" s="19"/>
      <c r="I77" s="20"/>
      <c r="J77" s="147">
        <f>SUBTOTAL(103,Tabel1[totaal 2022/2023])</f>
        <v>70</v>
      </c>
      <c r="K77" s="21">
        <f>COUNTIF(Tabel1[aantal],"&gt;0")</f>
        <v>17</v>
      </c>
      <c r="L77">
        <f>SUBTOTAL(103,Tabel1[Tilburg])</f>
        <v>11</v>
      </c>
      <c r="M77">
        <f>SUBTOTAL(103,Tabel1[Klundert])</f>
        <v>9</v>
      </c>
      <c r="N77">
        <f>SUBTOTAL(103,Tabel1[Schiedam])</f>
        <v>0</v>
      </c>
      <c r="O77">
        <f>SUBTOTAL(103,Tabel1[Eefde])</f>
        <v>0</v>
      </c>
      <c r="P77">
        <f>SUBTOTAL(103,Tabel1[Baarn1])</f>
        <v>0</v>
      </c>
      <c r="Q77">
        <f>SUBTOTAL(103,Tabel1[Utrecht])</f>
        <v>0</v>
      </c>
      <c r="R77">
        <f>SUBTOTAL(103,Tabel1[Best])</f>
        <v>0</v>
      </c>
      <c r="S77">
        <f>SUBTOTAL(103,Tabel1[Utrecht2])</f>
        <v>0</v>
      </c>
      <c r="T77">
        <f>SUBTOTAL(103,Tabel1[Baarn2])</f>
        <v>0</v>
      </c>
      <c r="U77">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2" sqref="A2:C24"/>
    </sheetView>
  </sheetViews>
  <sheetFormatPr defaultRowHeight="14.4" x14ac:dyDescent="0.3"/>
  <cols>
    <col min="1" max="1" width="29.5546875" customWidth="1"/>
    <col min="2" max="2" width="14.33203125" customWidth="1"/>
    <col min="3" max="3" width="42.6640625" customWidth="1"/>
  </cols>
  <sheetData>
    <row r="1" spans="1:3" x14ac:dyDescent="0.3">
      <c r="A1" t="s">
        <v>546</v>
      </c>
      <c r="B1" t="s">
        <v>760</v>
      </c>
      <c r="C1" t="s">
        <v>671</v>
      </c>
    </row>
    <row r="2" spans="1:3" x14ac:dyDescent="0.3">
      <c r="B2" s="159"/>
    </row>
    <row r="3" spans="1:3" x14ac:dyDescent="0.3">
      <c r="A3" s="158"/>
      <c r="B3" s="159"/>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dimension ref="A1:M67"/>
  <sheetViews>
    <sheetView workbookViewId="0">
      <selection activeCell="K68" sqref="K68"/>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49</v>
      </c>
      <c r="B1" s="173" t="s">
        <v>50</v>
      </c>
      <c r="C1" s="173" t="s">
        <v>51</v>
      </c>
      <c r="D1" s="173" t="s">
        <v>52</v>
      </c>
      <c r="E1" s="171" t="s">
        <v>53</v>
      </c>
      <c r="F1" s="173" t="s">
        <v>54</v>
      </c>
      <c r="G1" s="171" t="s">
        <v>55</v>
      </c>
      <c r="H1" s="171" t="s">
        <v>56</v>
      </c>
      <c r="I1" s="171" t="s">
        <v>57</v>
      </c>
      <c r="J1" s="171" t="s">
        <v>58</v>
      </c>
      <c r="K1" s="171" t="s">
        <v>59</v>
      </c>
      <c r="L1" s="192" t="s">
        <v>356</v>
      </c>
      <c r="M1" s="171" t="s">
        <v>357</v>
      </c>
    </row>
    <row r="2" spans="1:13" x14ac:dyDescent="0.3">
      <c r="A2" s="174" t="s">
        <v>135</v>
      </c>
      <c r="B2" s="175" t="s">
        <v>136</v>
      </c>
      <c r="C2" s="175"/>
      <c r="D2" s="175" t="s">
        <v>137</v>
      </c>
      <c r="E2" s="172" t="s">
        <v>358</v>
      </c>
      <c r="F2" s="175">
        <v>119088</v>
      </c>
      <c r="G2" s="176" t="s">
        <v>228</v>
      </c>
      <c r="H2" s="177">
        <v>148.85714285714286</v>
      </c>
      <c r="I2" s="172">
        <v>2009</v>
      </c>
      <c r="J2" s="172">
        <v>2022</v>
      </c>
      <c r="K2" s="178">
        <v>13</v>
      </c>
      <c r="L2" s="193">
        <v>2022</v>
      </c>
      <c r="M2" s="179">
        <v>148.85714285714286</v>
      </c>
    </row>
    <row r="3" spans="1:13" x14ac:dyDescent="0.3">
      <c r="A3" s="180" t="s">
        <v>140</v>
      </c>
      <c r="B3" s="181" t="s">
        <v>136</v>
      </c>
      <c r="C3" s="181"/>
      <c r="D3" s="181" t="s">
        <v>137</v>
      </c>
      <c r="E3" s="158" t="s">
        <v>359</v>
      </c>
      <c r="F3" s="181">
        <v>119938</v>
      </c>
      <c r="G3" s="182" t="s">
        <v>165</v>
      </c>
      <c r="H3" s="183">
        <v>44</v>
      </c>
      <c r="I3" s="158">
        <v>2011</v>
      </c>
      <c r="J3" s="158">
        <v>2022</v>
      </c>
      <c r="K3" s="184">
        <v>11</v>
      </c>
      <c r="L3" s="193">
        <v>2022</v>
      </c>
      <c r="M3" s="185">
        <v>44</v>
      </c>
    </row>
    <row r="4" spans="1:13" x14ac:dyDescent="0.3">
      <c r="A4" s="174" t="s">
        <v>145</v>
      </c>
      <c r="B4" s="175" t="s">
        <v>136</v>
      </c>
      <c r="C4" s="175"/>
      <c r="D4" s="175" t="s">
        <v>360</v>
      </c>
      <c r="E4" s="172" t="s">
        <v>361</v>
      </c>
      <c r="F4" s="175">
        <v>118695</v>
      </c>
      <c r="G4" s="176" t="s">
        <v>147</v>
      </c>
      <c r="H4" s="177">
        <v>413.18627450980398</v>
      </c>
      <c r="I4" s="172">
        <v>2004</v>
      </c>
      <c r="J4" s="172">
        <v>2022</v>
      </c>
      <c r="K4" s="178">
        <v>18</v>
      </c>
      <c r="L4" s="193">
        <v>2022</v>
      </c>
      <c r="M4" s="179">
        <v>413.18627450980398</v>
      </c>
    </row>
    <row r="5" spans="1:13" x14ac:dyDescent="0.3">
      <c r="A5" s="180" t="s">
        <v>135</v>
      </c>
      <c r="B5" s="181" t="s">
        <v>136</v>
      </c>
      <c r="C5" s="181"/>
      <c r="D5" s="181" t="s">
        <v>137</v>
      </c>
      <c r="E5" s="158" t="s">
        <v>362</v>
      </c>
      <c r="F5" s="181">
        <v>116707</v>
      </c>
      <c r="G5" s="182" t="s">
        <v>174</v>
      </c>
      <c r="H5" s="183">
        <v>1315.2968697968697</v>
      </c>
      <c r="I5" s="158">
        <v>2007</v>
      </c>
      <c r="J5" s="158">
        <v>2022</v>
      </c>
      <c r="K5" s="184">
        <v>15</v>
      </c>
      <c r="L5" s="193">
        <v>2022</v>
      </c>
      <c r="M5" s="185">
        <v>1315.2968697968697</v>
      </c>
    </row>
    <row r="6" spans="1:13" x14ac:dyDescent="0.3">
      <c r="A6" s="174" t="s">
        <v>135</v>
      </c>
      <c r="B6" s="175" t="s">
        <v>136</v>
      </c>
      <c r="C6" s="175"/>
      <c r="D6" s="175" t="s">
        <v>137</v>
      </c>
      <c r="E6" s="172" t="s">
        <v>363</v>
      </c>
      <c r="F6" s="175">
        <v>118453</v>
      </c>
      <c r="G6" s="176" t="s">
        <v>139</v>
      </c>
      <c r="H6" s="177">
        <v>320.66666666666663</v>
      </c>
      <c r="I6" s="172">
        <v>2006</v>
      </c>
      <c r="J6" s="172">
        <v>2022</v>
      </c>
      <c r="K6" s="178">
        <v>16</v>
      </c>
      <c r="L6" s="193">
        <v>2022</v>
      </c>
      <c r="M6" s="179">
        <v>320.66666666666663</v>
      </c>
    </row>
    <row r="7" spans="1:13" x14ac:dyDescent="0.3">
      <c r="A7" s="180" t="s">
        <v>135</v>
      </c>
      <c r="B7" s="181" t="s">
        <v>136</v>
      </c>
      <c r="C7" s="181"/>
      <c r="D7" s="181" t="s">
        <v>137</v>
      </c>
      <c r="E7" s="158" t="s">
        <v>364</v>
      </c>
      <c r="F7" s="181">
        <v>118196</v>
      </c>
      <c r="G7" s="182" t="s">
        <v>190</v>
      </c>
      <c r="H7" s="183">
        <v>539.3974358974358</v>
      </c>
      <c r="I7" s="158">
        <v>2008</v>
      </c>
      <c r="J7" s="158">
        <v>2022</v>
      </c>
      <c r="K7" s="184">
        <v>14</v>
      </c>
      <c r="L7" s="193">
        <v>2022</v>
      </c>
      <c r="M7" s="185">
        <v>539.3974358974358</v>
      </c>
    </row>
    <row r="8" spans="1:13" x14ac:dyDescent="0.3">
      <c r="A8" s="174" t="s">
        <v>143</v>
      </c>
      <c r="B8" s="175"/>
      <c r="C8" s="175"/>
      <c r="D8" s="175" t="s">
        <v>137</v>
      </c>
      <c r="E8" s="172" t="s">
        <v>365</v>
      </c>
      <c r="F8" s="175">
        <v>119570</v>
      </c>
      <c r="G8" s="176" t="s">
        <v>237</v>
      </c>
      <c r="H8" s="177">
        <v>0</v>
      </c>
      <c r="I8" s="172">
        <v>2011</v>
      </c>
      <c r="J8" s="172">
        <v>2022</v>
      </c>
      <c r="K8" s="178">
        <v>11</v>
      </c>
      <c r="L8" s="193">
        <v>2022</v>
      </c>
      <c r="M8" s="179">
        <v>0</v>
      </c>
    </row>
    <row r="9" spans="1:13" x14ac:dyDescent="0.3">
      <c r="A9" s="180" t="s">
        <v>140</v>
      </c>
      <c r="B9" s="181" t="s">
        <v>136</v>
      </c>
      <c r="C9" s="181"/>
      <c r="D9" s="181" t="s">
        <v>137</v>
      </c>
      <c r="E9" s="158" t="s">
        <v>366</v>
      </c>
      <c r="F9" s="181">
        <v>118811</v>
      </c>
      <c r="G9" s="182" t="s">
        <v>190</v>
      </c>
      <c r="H9" s="183">
        <v>250</v>
      </c>
      <c r="I9" s="158">
        <v>2010</v>
      </c>
      <c r="J9" s="158">
        <v>2022</v>
      </c>
      <c r="K9" s="184">
        <v>12</v>
      </c>
      <c r="L9" s="193">
        <v>2022</v>
      </c>
      <c r="M9" s="185">
        <v>250</v>
      </c>
    </row>
    <row r="10" spans="1:13" x14ac:dyDescent="0.3">
      <c r="A10" s="174" t="s">
        <v>135</v>
      </c>
      <c r="B10" s="175" t="s">
        <v>136</v>
      </c>
      <c r="C10" s="175"/>
      <c r="D10" s="175" t="s">
        <v>137</v>
      </c>
      <c r="E10" s="172" t="s">
        <v>367</v>
      </c>
      <c r="F10" s="175">
        <v>117111</v>
      </c>
      <c r="G10" s="176" t="s">
        <v>142</v>
      </c>
      <c r="H10" s="177">
        <v>905</v>
      </c>
      <c r="I10" s="172">
        <v>2008</v>
      </c>
      <c r="J10" s="172">
        <v>2022</v>
      </c>
      <c r="K10" s="178">
        <v>14</v>
      </c>
      <c r="L10" s="193">
        <v>2022</v>
      </c>
      <c r="M10" s="179">
        <v>905</v>
      </c>
    </row>
    <row r="11" spans="1:13" x14ac:dyDescent="0.3">
      <c r="A11" s="180" t="s">
        <v>135</v>
      </c>
      <c r="B11" s="181" t="s">
        <v>136</v>
      </c>
      <c r="C11" s="181"/>
      <c r="D11" s="181" t="s">
        <v>137</v>
      </c>
      <c r="E11" s="158" t="s">
        <v>368</v>
      </c>
      <c r="F11" s="181">
        <v>120201</v>
      </c>
      <c r="G11" s="182" t="s">
        <v>369</v>
      </c>
      <c r="H11" s="186">
        <v>0</v>
      </c>
      <c r="I11" s="158">
        <v>2007</v>
      </c>
      <c r="J11" s="158">
        <v>2022</v>
      </c>
      <c r="K11" s="184">
        <v>15</v>
      </c>
      <c r="L11" s="193">
        <v>2022</v>
      </c>
      <c r="M11" s="185"/>
    </row>
    <row r="12" spans="1:13" x14ac:dyDescent="0.3">
      <c r="A12" s="174" t="s">
        <v>145</v>
      </c>
      <c r="B12" s="175" t="s">
        <v>136</v>
      </c>
      <c r="C12" s="175"/>
      <c r="D12" s="175" t="s">
        <v>137</v>
      </c>
      <c r="E12" s="172" t="s">
        <v>370</v>
      </c>
      <c r="F12" s="175">
        <v>117781</v>
      </c>
      <c r="G12" s="176" t="s">
        <v>147</v>
      </c>
      <c r="H12" s="177">
        <v>1014.7698412698412</v>
      </c>
      <c r="I12" s="172">
        <v>2006</v>
      </c>
      <c r="J12" s="172">
        <v>2022</v>
      </c>
      <c r="K12" s="178">
        <v>16</v>
      </c>
      <c r="L12" s="193">
        <v>2022</v>
      </c>
      <c r="M12" s="179">
        <v>1014.7698412698412</v>
      </c>
    </row>
    <row r="13" spans="1:13" x14ac:dyDescent="0.3">
      <c r="A13" s="180" t="s">
        <v>143</v>
      </c>
      <c r="B13" s="181" t="s">
        <v>136</v>
      </c>
      <c r="C13" s="181"/>
      <c r="D13" s="181" t="s">
        <v>137</v>
      </c>
      <c r="E13" s="158" t="s">
        <v>371</v>
      </c>
      <c r="F13" s="181">
        <v>118101</v>
      </c>
      <c r="G13" s="182" t="s">
        <v>196</v>
      </c>
      <c r="H13" s="183">
        <v>93.333333333333343</v>
      </c>
      <c r="I13" s="158">
        <v>2007</v>
      </c>
      <c r="J13" s="158">
        <v>2022</v>
      </c>
      <c r="K13" s="184">
        <v>15</v>
      </c>
      <c r="L13" s="193">
        <v>2022</v>
      </c>
      <c r="M13" s="185">
        <v>93.333333333333343</v>
      </c>
    </row>
    <row r="14" spans="1:13" x14ac:dyDescent="0.3">
      <c r="A14" s="174" t="s">
        <v>145</v>
      </c>
      <c r="B14" s="175" t="s">
        <v>136</v>
      </c>
      <c r="C14" s="175"/>
      <c r="D14" s="175" t="s">
        <v>137</v>
      </c>
      <c r="E14" s="172" t="s">
        <v>372</v>
      </c>
      <c r="F14" s="175">
        <v>120467</v>
      </c>
      <c r="G14" s="176" t="s">
        <v>149</v>
      </c>
      <c r="H14" s="187">
        <v>0</v>
      </c>
      <c r="I14" s="172">
        <v>2009</v>
      </c>
      <c r="J14" s="172">
        <v>2022</v>
      </c>
      <c r="K14" s="178">
        <v>13</v>
      </c>
      <c r="L14" s="193">
        <v>2022</v>
      </c>
      <c r="M14" s="188"/>
    </row>
    <row r="15" spans="1:13" x14ac:dyDescent="0.3">
      <c r="A15" s="180" t="s">
        <v>135</v>
      </c>
      <c r="B15" s="181" t="s">
        <v>136</v>
      </c>
      <c r="C15" s="181"/>
      <c r="D15" s="181" t="s">
        <v>137</v>
      </c>
      <c r="E15" s="158" t="s">
        <v>373</v>
      </c>
      <c r="F15" s="181">
        <v>115117</v>
      </c>
      <c r="G15" s="182" t="s">
        <v>202</v>
      </c>
      <c r="H15" s="183">
        <v>102.72727272727273</v>
      </c>
      <c r="I15" s="158">
        <v>2007</v>
      </c>
      <c r="J15" s="158">
        <v>2022</v>
      </c>
      <c r="K15" s="184">
        <v>15</v>
      </c>
      <c r="L15" s="193">
        <v>2022</v>
      </c>
      <c r="M15" s="185">
        <v>102.72727272727273</v>
      </c>
    </row>
    <row r="16" spans="1:13" x14ac:dyDescent="0.3">
      <c r="A16" s="174" t="s">
        <v>145</v>
      </c>
      <c r="B16" s="175" t="s">
        <v>136</v>
      </c>
      <c r="C16" s="175"/>
      <c r="D16" s="175" t="s">
        <v>137</v>
      </c>
      <c r="E16" s="172" t="s">
        <v>374</v>
      </c>
      <c r="F16" s="175">
        <v>118501</v>
      </c>
      <c r="G16" s="176" t="s">
        <v>167</v>
      </c>
      <c r="H16" s="177">
        <v>588.83333333333337</v>
      </c>
      <c r="I16" s="172">
        <v>2010</v>
      </c>
      <c r="J16" s="172">
        <v>2022</v>
      </c>
      <c r="K16" s="178">
        <v>12</v>
      </c>
      <c r="L16" s="193">
        <v>2022</v>
      </c>
      <c r="M16" s="179">
        <v>588.83333333333337</v>
      </c>
    </row>
    <row r="17" spans="1:13" x14ac:dyDescent="0.3">
      <c r="A17" s="180" t="s">
        <v>143</v>
      </c>
      <c r="B17" s="181" t="s">
        <v>136</v>
      </c>
      <c r="C17" s="181"/>
      <c r="D17" s="181" t="s">
        <v>137</v>
      </c>
      <c r="E17" s="158" t="s">
        <v>375</v>
      </c>
      <c r="F17" s="181">
        <v>118440</v>
      </c>
      <c r="G17" s="182" t="s">
        <v>190</v>
      </c>
      <c r="H17" s="183">
        <v>828.5</v>
      </c>
      <c r="I17" s="158">
        <v>2009</v>
      </c>
      <c r="J17" s="158">
        <v>2022</v>
      </c>
      <c r="K17" s="184">
        <v>13</v>
      </c>
      <c r="L17" s="193">
        <v>2022</v>
      </c>
      <c r="M17" s="185">
        <v>828.5</v>
      </c>
    </row>
    <row r="18" spans="1:13" x14ac:dyDescent="0.3">
      <c r="A18" s="174" t="s">
        <v>143</v>
      </c>
      <c r="B18" s="175" t="s">
        <v>136</v>
      </c>
      <c r="C18" s="175"/>
      <c r="D18" s="175" t="s">
        <v>137</v>
      </c>
      <c r="E18" s="172" t="s">
        <v>376</v>
      </c>
      <c r="F18" s="175">
        <v>116385</v>
      </c>
      <c r="G18" s="176" t="s">
        <v>196</v>
      </c>
      <c r="H18" s="177">
        <v>128.33333333333334</v>
      </c>
      <c r="I18" s="172">
        <v>2009</v>
      </c>
      <c r="J18" s="172">
        <v>2022</v>
      </c>
      <c r="K18" s="178">
        <v>13</v>
      </c>
      <c r="L18" s="193">
        <v>2022</v>
      </c>
      <c r="M18" s="179">
        <v>128.33333333333334</v>
      </c>
    </row>
    <row r="19" spans="1:13" x14ac:dyDescent="0.3">
      <c r="A19" s="180" t="s">
        <v>143</v>
      </c>
      <c r="B19" s="181" t="s">
        <v>136</v>
      </c>
      <c r="C19" s="181"/>
      <c r="D19" s="181" t="s">
        <v>137</v>
      </c>
      <c r="E19" s="158" t="s">
        <v>377</v>
      </c>
      <c r="F19" s="181">
        <v>117538</v>
      </c>
      <c r="G19" s="182" t="s">
        <v>207</v>
      </c>
      <c r="H19" s="183">
        <v>216.25</v>
      </c>
      <c r="I19" s="158">
        <v>2009</v>
      </c>
      <c r="J19" s="158">
        <v>2022</v>
      </c>
      <c r="K19" s="184">
        <v>13</v>
      </c>
      <c r="L19" s="193">
        <v>2022</v>
      </c>
      <c r="M19" s="185">
        <v>216.25</v>
      </c>
    </row>
    <row r="20" spans="1:13" x14ac:dyDescent="0.3">
      <c r="A20" s="174" t="s">
        <v>143</v>
      </c>
      <c r="B20" s="175" t="s">
        <v>136</v>
      </c>
      <c r="C20" s="175"/>
      <c r="D20" s="175" t="s">
        <v>137</v>
      </c>
      <c r="E20" s="172" t="s">
        <v>378</v>
      </c>
      <c r="F20" s="175">
        <v>118512</v>
      </c>
      <c r="G20" s="176" t="s">
        <v>180</v>
      </c>
      <c r="H20" s="177">
        <v>371.66666666666663</v>
      </c>
      <c r="I20" s="172">
        <v>2009</v>
      </c>
      <c r="J20" s="172">
        <v>2022</v>
      </c>
      <c r="K20" s="178">
        <v>13</v>
      </c>
      <c r="L20" s="193">
        <v>2022</v>
      </c>
      <c r="M20" s="179">
        <v>371.66666666666663</v>
      </c>
    </row>
    <row r="21" spans="1:13" x14ac:dyDescent="0.3">
      <c r="A21" s="180" t="s">
        <v>169</v>
      </c>
      <c r="B21" s="181" t="s">
        <v>136</v>
      </c>
      <c r="C21" s="181"/>
      <c r="D21" s="181" t="s">
        <v>137</v>
      </c>
      <c r="E21" s="158" t="s">
        <v>379</v>
      </c>
      <c r="F21" s="181">
        <v>119415</v>
      </c>
      <c r="G21" s="182" t="s">
        <v>149</v>
      </c>
      <c r="H21" s="183">
        <v>85.833333333333343</v>
      </c>
      <c r="I21" s="158">
        <v>2011</v>
      </c>
      <c r="J21" s="158">
        <v>2022</v>
      </c>
      <c r="K21" s="184">
        <v>11</v>
      </c>
      <c r="L21" s="193">
        <v>2022</v>
      </c>
      <c r="M21" s="185">
        <v>85.833333333333343</v>
      </c>
    </row>
    <row r="22" spans="1:13" x14ac:dyDescent="0.3">
      <c r="A22" s="174" t="s">
        <v>145</v>
      </c>
      <c r="B22" s="175" t="s">
        <v>136</v>
      </c>
      <c r="C22" s="175"/>
      <c r="D22" s="175" t="s">
        <v>137</v>
      </c>
      <c r="E22" s="172" t="s">
        <v>380</v>
      </c>
      <c r="F22" s="175">
        <v>119261</v>
      </c>
      <c r="G22" s="176" t="s">
        <v>147</v>
      </c>
      <c r="H22" s="177">
        <v>277.11344537815125</v>
      </c>
      <c r="I22" s="172">
        <v>2006</v>
      </c>
      <c r="J22" s="172">
        <v>2022</v>
      </c>
      <c r="K22" s="178">
        <v>16</v>
      </c>
      <c r="L22" s="193">
        <v>2022</v>
      </c>
      <c r="M22" s="179">
        <v>277.11344537815125</v>
      </c>
    </row>
    <row r="23" spans="1:13" x14ac:dyDescent="0.3">
      <c r="A23" s="180" t="s">
        <v>153</v>
      </c>
      <c r="B23" s="181" t="s">
        <v>136</v>
      </c>
      <c r="C23" s="181"/>
      <c r="D23" s="181" t="s">
        <v>137</v>
      </c>
      <c r="E23" s="158" t="s">
        <v>381</v>
      </c>
      <c r="F23" s="181">
        <v>118397</v>
      </c>
      <c r="G23" s="182" t="s">
        <v>202</v>
      </c>
      <c r="H23" s="183">
        <v>573.81313131313141</v>
      </c>
      <c r="I23" s="158">
        <v>2010</v>
      </c>
      <c r="J23" s="158">
        <v>2022</v>
      </c>
      <c r="K23" s="184">
        <v>12</v>
      </c>
      <c r="L23" s="193">
        <v>2022</v>
      </c>
      <c r="M23" s="185">
        <v>573.81313131313141</v>
      </c>
    </row>
    <row r="24" spans="1:13" x14ac:dyDescent="0.3">
      <c r="A24" s="174" t="s">
        <v>169</v>
      </c>
      <c r="B24" s="175" t="s">
        <v>136</v>
      </c>
      <c r="C24" s="175"/>
      <c r="D24" s="175" t="s">
        <v>137</v>
      </c>
      <c r="E24" s="172" t="s">
        <v>382</v>
      </c>
      <c r="F24" s="175">
        <v>119421</v>
      </c>
      <c r="G24" s="176" t="s">
        <v>149</v>
      </c>
      <c r="H24" s="177">
        <v>162.12121212121212</v>
      </c>
      <c r="I24" s="172">
        <v>2011</v>
      </c>
      <c r="J24" s="172">
        <v>2022</v>
      </c>
      <c r="K24" s="178">
        <v>11</v>
      </c>
      <c r="L24" s="193">
        <v>2022</v>
      </c>
      <c r="M24" s="179">
        <v>162.12121212121212</v>
      </c>
    </row>
    <row r="25" spans="1:13" x14ac:dyDescent="0.3">
      <c r="A25" s="180" t="s">
        <v>135</v>
      </c>
      <c r="B25" s="181" t="s">
        <v>136</v>
      </c>
      <c r="C25" s="181"/>
      <c r="D25" s="181" t="s">
        <v>137</v>
      </c>
      <c r="E25" s="158" t="s">
        <v>383</v>
      </c>
      <c r="F25" s="181">
        <v>117418</v>
      </c>
      <c r="G25" s="182" t="s">
        <v>177</v>
      </c>
      <c r="H25" s="183">
        <v>997</v>
      </c>
      <c r="I25" s="158">
        <v>2004</v>
      </c>
      <c r="J25" s="158">
        <v>2022</v>
      </c>
      <c r="K25" s="184">
        <v>18</v>
      </c>
      <c r="L25" s="193">
        <v>2022</v>
      </c>
      <c r="M25" s="185">
        <v>997</v>
      </c>
    </row>
    <row r="26" spans="1:13" x14ac:dyDescent="0.3">
      <c r="A26" s="174" t="s">
        <v>143</v>
      </c>
      <c r="B26" s="175" t="s">
        <v>136</v>
      </c>
      <c r="C26" s="175"/>
      <c r="D26" s="175" t="s">
        <v>137</v>
      </c>
      <c r="E26" s="172" t="s">
        <v>384</v>
      </c>
      <c r="F26" s="175">
        <v>119258</v>
      </c>
      <c r="G26" s="176" t="s">
        <v>147</v>
      </c>
      <c r="H26" s="177">
        <v>713.52380952380952</v>
      </c>
      <c r="I26" s="172">
        <v>2006</v>
      </c>
      <c r="J26" s="172">
        <v>2022</v>
      </c>
      <c r="K26" s="178">
        <v>16</v>
      </c>
      <c r="L26" s="193">
        <v>2022</v>
      </c>
      <c r="M26" s="179">
        <v>713.52380952380952</v>
      </c>
    </row>
    <row r="27" spans="1:13" x14ac:dyDescent="0.3">
      <c r="A27" s="180" t="s">
        <v>140</v>
      </c>
      <c r="B27" s="181" t="s">
        <v>136</v>
      </c>
      <c r="C27" s="181"/>
      <c r="D27" s="181" t="s">
        <v>137</v>
      </c>
      <c r="E27" s="158" t="s">
        <v>385</v>
      </c>
      <c r="F27" s="181">
        <v>119433</v>
      </c>
      <c r="G27" s="182" t="s">
        <v>165</v>
      </c>
      <c r="H27" s="183">
        <v>82.222222222222214</v>
      </c>
      <c r="I27" s="158">
        <v>2010</v>
      </c>
      <c r="J27" s="158">
        <v>2022</v>
      </c>
      <c r="K27" s="184">
        <v>12</v>
      </c>
      <c r="L27" s="193">
        <v>2022</v>
      </c>
      <c r="M27" s="185">
        <v>82.222222222222214</v>
      </c>
    </row>
    <row r="28" spans="1:13" x14ac:dyDescent="0.3">
      <c r="A28" s="174" t="s">
        <v>143</v>
      </c>
      <c r="B28" s="175" t="s">
        <v>136</v>
      </c>
      <c r="C28" s="175"/>
      <c r="D28" s="175" t="s">
        <v>137</v>
      </c>
      <c r="E28" s="172" t="s">
        <v>386</v>
      </c>
      <c r="F28" s="175">
        <v>119388</v>
      </c>
      <c r="G28" s="176" t="s">
        <v>190</v>
      </c>
      <c r="H28" s="177">
        <v>122</v>
      </c>
      <c r="I28" s="172">
        <v>2009</v>
      </c>
      <c r="J28" s="172">
        <v>2022</v>
      </c>
      <c r="K28" s="178">
        <v>13</v>
      </c>
      <c r="L28" s="193">
        <v>2022</v>
      </c>
      <c r="M28" s="179">
        <v>122</v>
      </c>
    </row>
    <row r="29" spans="1:13" x14ac:dyDescent="0.3">
      <c r="A29" s="180" t="s">
        <v>143</v>
      </c>
      <c r="B29" s="181" t="s">
        <v>136</v>
      </c>
      <c r="C29" s="181"/>
      <c r="D29" s="181" t="s">
        <v>137</v>
      </c>
      <c r="E29" s="158" t="s">
        <v>387</v>
      </c>
      <c r="F29" s="181">
        <v>116644</v>
      </c>
      <c r="G29" s="182" t="s">
        <v>196</v>
      </c>
      <c r="H29" s="183">
        <v>124</v>
      </c>
      <c r="I29" s="158">
        <v>2009</v>
      </c>
      <c r="J29" s="158">
        <v>2022</v>
      </c>
      <c r="K29" s="184">
        <v>13</v>
      </c>
      <c r="L29" s="193">
        <v>2022</v>
      </c>
      <c r="M29" s="185">
        <v>124</v>
      </c>
    </row>
    <row r="30" spans="1:13" x14ac:dyDescent="0.3">
      <c r="A30" s="174" t="s">
        <v>135</v>
      </c>
      <c r="B30" s="175" t="s">
        <v>136</v>
      </c>
      <c r="C30" s="175"/>
      <c r="D30" s="175" t="s">
        <v>137</v>
      </c>
      <c r="E30" s="172" t="s">
        <v>388</v>
      </c>
      <c r="F30" s="175">
        <v>116978</v>
      </c>
      <c r="G30" s="176" t="s">
        <v>228</v>
      </c>
      <c r="H30" s="177">
        <v>3621.079365079368</v>
      </c>
      <c r="I30" s="172">
        <v>2007</v>
      </c>
      <c r="J30" s="172">
        <v>2022</v>
      </c>
      <c r="K30" s="178">
        <v>15</v>
      </c>
      <c r="L30" s="193">
        <v>2022</v>
      </c>
      <c r="M30" s="179">
        <v>3621.079365079368</v>
      </c>
    </row>
    <row r="31" spans="1:13" x14ac:dyDescent="0.3">
      <c r="A31" s="180" t="s">
        <v>145</v>
      </c>
      <c r="B31" s="181" t="s">
        <v>136</v>
      </c>
      <c r="C31" s="181"/>
      <c r="D31" s="181" t="s">
        <v>137</v>
      </c>
      <c r="E31" s="158" t="s">
        <v>389</v>
      </c>
      <c r="F31" s="181">
        <v>119664</v>
      </c>
      <c r="G31" s="182" t="s">
        <v>149</v>
      </c>
      <c r="H31" s="183">
        <v>21</v>
      </c>
      <c r="I31" s="158">
        <v>2009</v>
      </c>
      <c r="J31" s="158">
        <v>2022</v>
      </c>
      <c r="K31" s="184">
        <v>13</v>
      </c>
      <c r="L31" s="193">
        <v>2022</v>
      </c>
      <c r="M31" s="185">
        <v>21</v>
      </c>
    </row>
    <row r="32" spans="1:13" x14ac:dyDescent="0.3">
      <c r="A32" s="174" t="s">
        <v>143</v>
      </c>
      <c r="B32" s="175" t="s">
        <v>136</v>
      </c>
      <c r="C32" s="175"/>
      <c r="D32" s="175" t="s">
        <v>137</v>
      </c>
      <c r="E32" s="172" t="s">
        <v>390</v>
      </c>
      <c r="F32" s="175">
        <v>118015</v>
      </c>
      <c r="G32" s="176" t="s">
        <v>142</v>
      </c>
      <c r="H32" s="177">
        <v>1708.43253968254</v>
      </c>
      <c r="I32" s="172">
        <v>2008</v>
      </c>
      <c r="J32" s="172">
        <v>2022</v>
      </c>
      <c r="K32" s="178">
        <v>14</v>
      </c>
      <c r="L32" s="193">
        <v>2022</v>
      </c>
      <c r="M32" s="179">
        <v>1708.43253968254</v>
      </c>
    </row>
    <row r="33" spans="1:13" x14ac:dyDescent="0.3">
      <c r="A33" s="180" t="s">
        <v>140</v>
      </c>
      <c r="B33" s="181"/>
      <c r="C33" s="181"/>
      <c r="D33" s="181" t="s">
        <v>137</v>
      </c>
      <c r="E33" s="158" t="s">
        <v>391</v>
      </c>
      <c r="F33" s="181">
        <v>119413</v>
      </c>
      <c r="G33" s="182" t="s">
        <v>147</v>
      </c>
      <c r="H33" s="183">
        <v>56.25</v>
      </c>
      <c r="I33" s="158">
        <v>2010</v>
      </c>
      <c r="J33" s="158">
        <v>2022</v>
      </c>
      <c r="K33" s="184">
        <v>12</v>
      </c>
      <c r="L33" s="193">
        <v>2022</v>
      </c>
      <c r="M33" s="185">
        <v>56.25</v>
      </c>
    </row>
    <row r="34" spans="1:13" x14ac:dyDescent="0.3">
      <c r="A34" s="174" t="s">
        <v>143</v>
      </c>
      <c r="B34" s="175"/>
      <c r="C34" s="175"/>
      <c r="D34" s="175" t="s">
        <v>137</v>
      </c>
      <c r="E34" s="172" t="s">
        <v>392</v>
      </c>
      <c r="F34" s="175">
        <v>119569</v>
      </c>
      <c r="G34" s="176" t="s">
        <v>237</v>
      </c>
      <c r="H34" s="187">
        <v>0</v>
      </c>
      <c r="I34" s="172">
        <v>2008</v>
      </c>
      <c r="J34" s="172">
        <v>2022</v>
      </c>
      <c r="K34" s="178">
        <v>14</v>
      </c>
      <c r="L34" s="193">
        <v>2022</v>
      </c>
      <c r="M34" s="188"/>
    </row>
    <row r="35" spans="1:13" x14ac:dyDescent="0.3">
      <c r="A35" s="180" t="s">
        <v>135</v>
      </c>
      <c r="B35" s="181" t="s">
        <v>136</v>
      </c>
      <c r="C35" s="181"/>
      <c r="D35" s="181" t="s">
        <v>137</v>
      </c>
      <c r="E35" s="158" t="s">
        <v>393</v>
      </c>
      <c r="F35" s="181">
        <v>118499</v>
      </c>
      <c r="G35" s="182" t="s">
        <v>228</v>
      </c>
      <c r="H35" s="183">
        <v>1058.0227272727273</v>
      </c>
      <c r="I35" s="158">
        <v>2005</v>
      </c>
      <c r="J35" s="158">
        <v>2022</v>
      </c>
      <c r="K35" s="184">
        <v>17</v>
      </c>
      <c r="L35" s="193">
        <v>2022</v>
      </c>
      <c r="M35" s="185">
        <v>1058.0227272727273</v>
      </c>
    </row>
    <row r="36" spans="1:13" x14ac:dyDescent="0.3">
      <c r="A36" s="174" t="s">
        <v>140</v>
      </c>
      <c r="B36" s="175" t="s">
        <v>136</v>
      </c>
      <c r="C36" s="175"/>
      <c r="D36" s="175" t="s">
        <v>137</v>
      </c>
      <c r="E36" s="172" t="s">
        <v>394</v>
      </c>
      <c r="F36" s="175">
        <v>118931</v>
      </c>
      <c r="G36" s="176" t="s">
        <v>142</v>
      </c>
      <c r="H36" s="177">
        <v>1540</v>
      </c>
      <c r="I36" s="172">
        <v>2010</v>
      </c>
      <c r="J36" s="172">
        <v>2022</v>
      </c>
      <c r="K36" s="178">
        <v>12</v>
      </c>
      <c r="L36" s="193">
        <v>2022</v>
      </c>
      <c r="M36" s="179">
        <v>1540</v>
      </c>
    </row>
    <row r="37" spans="1:13" x14ac:dyDescent="0.3">
      <c r="A37" s="180" t="s">
        <v>153</v>
      </c>
      <c r="B37" s="181" t="s">
        <v>136</v>
      </c>
      <c r="C37" s="181"/>
      <c r="D37" s="181" t="s">
        <v>137</v>
      </c>
      <c r="E37" s="158" t="s">
        <v>395</v>
      </c>
      <c r="F37" s="181">
        <v>119317</v>
      </c>
      <c r="G37" s="182" t="s">
        <v>139</v>
      </c>
      <c r="H37" s="183">
        <v>80</v>
      </c>
      <c r="I37" s="158">
        <v>2010</v>
      </c>
      <c r="J37" s="158">
        <v>2022</v>
      </c>
      <c r="K37" s="184">
        <v>12</v>
      </c>
      <c r="L37" s="193">
        <v>2022</v>
      </c>
      <c r="M37" s="185">
        <v>80</v>
      </c>
    </row>
    <row r="38" spans="1:13" x14ac:dyDescent="0.3">
      <c r="A38" s="174" t="s">
        <v>145</v>
      </c>
      <c r="B38" s="175" t="s">
        <v>136</v>
      </c>
      <c r="C38" s="175"/>
      <c r="D38" s="175" t="s">
        <v>137</v>
      </c>
      <c r="E38" s="172" t="s">
        <v>396</v>
      </c>
      <c r="F38" s="175">
        <v>119738</v>
      </c>
      <c r="G38" s="176" t="s">
        <v>149</v>
      </c>
      <c r="H38" s="177">
        <v>58.333333333333329</v>
      </c>
      <c r="I38" s="172">
        <v>2011</v>
      </c>
      <c r="J38" s="172">
        <v>2022</v>
      </c>
      <c r="K38" s="178">
        <v>11</v>
      </c>
      <c r="L38" s="193">
        <v>2022</v>
      </c>
      <c r="M38" s="179">
        <v>58.333333333333329</v>
      </c>
    </row>
    <row r="39" spans="1:13" x14ac:dyDescent="0.3">
      <c r="A39" s="180" t="s">
        <v>145</v>
      </c>
      <c r="B39" s="181" t="s">
        <v>136</v>
      </c>
      <c r="C39" s="181"/>
      <c r="D39" s="181" t="s">
        <v>137</v>
      </c>
      <c r="E39" s="158" t="s">
        <v>397</v>
      </c>
      <c r="F39" s="181">
        <v>118873</v>
      </c>
      <c r="G39" s="182" t="s">
        <v>149</v>
      </c>
      <c r="H39" s="183">
        <v>85</v>
      </c>
      <c r="I39" s="158">
        <v>2008</v>
      </c>
      <c r="J39" s="158">
        <v>2022</v>
      </c>
      <c r="K39" s="184">
        <v>14</v>
      </c>
      <c r="L39" s="193">
        <v>2022</v>
      </c>
      <c r="M39" s="185">
        <v>85</v>
      </c>
    </row>
    <row r="40" spans="1:13" x14ac:dyDescent="0.3">
      <c r="A40" s="174" t="s">
        <v>140</v>
      </c>
      <c r="B40" s="175" t="s">
        <v>136</v>
      </c>
      <c r="C40" s="175"/>
      <c r="D40" s="175" t="s">
        <v>137</v>
      </c>
      <c r="E40" s="172" t="s">
        <v>398</v>
      </c>
      <c r="F40" s="175"/>
      <c r="G40" s="172" t="s">
        <v>165</v>
      </c>
      <c r="H40" s="177">
        <v>77.5</v>
      </c>
      <c r="I40" s="172">
        <v>2008</v>
      </c>
      <c r="J40" s="172">
        <v>2022</v>
      </c>
      <c r="K40" s="178">
        <v>14</v>
      </c>
      <c r="L40" s="193">
        <v>2022</v>
      </c>
      <c r="M40" s="179">
        <v>77.5</v>
      </c>
    </row>
    <row r="41" spans="1:13" x14ac:dyDescent="0.3">
      <c r="A41" s="180" t="s">
        <v>135</v>
      </c>
      <c r="B41" s="181" t="s">
        <v>136</v>
      </c>
      <c r="C41" s="181"/>
      <c r="D41" s="181" t="s">
        <v>137</v>
      </c>
      <c r="E41" s="158" t="s">
        <v>399</v>
      </c>
      <c r="F41" s="181">
        <v>119503</v>
      </c>
      <c r="G41" s="158" t="s">
        <v>142</v>
      </c>
      <c r="H41" s="183">
        <v>105.83333333333334</v>
      </c>
      <c r="I41" s="158">
        <v>2003</v>
      </c>
      <c r="J41" s="158">
        <v>2022</v>
      </c>
      <c r="K41" s="184">
        <v>19</v>
      </c>
      <c r="L41" s="193">
        <v>2022</v>
      </c>
      <c r="M41" s="185">
        <v>105.83333333333334</v>
      </c>
    </row>
    <row r="42" spans="1:13" x14ac:dyDescent="0.3">
      <c r="A42" s="174" t="s">
        <v>153</v>
      </c>
      <c r="B42" s="175" t="s">
        <v>136</v>
      </c>
      <c r="C42" s="175"/>
      <c r="D42" s="175" t="s">
        <v>137</v>
      </c>
      <c r="E42" s="172" t="s">
        <v>400</v>
      </c>
      <c r="F42" s="175">
        <v>119704</v>
      </c>
      <c r="G42" s="172" t="s">
        <v>177</v>
      </c>
      <c r="H42" s="187">
        <v>0</v>
      </c>
      <c r="I42" s="172">
        <v>2010</v>
      </c>
      <c r="J42" s="172">
        <v>2022</v>
      </c>
      <c r="K42" s="178">
        <v>12</v>
      </c>
      <c r="L42" s="193">
        <v>2022</v>
      </c>
      <c r="M42" s="179"/>
    </row>
    <row r="43" spans="1:13" x14ac:dyDescent="0.3">
      <c r="A43" s="180" t="s">
        <v>143</v>
      </c>
      <c r="B43" s="181" t="s">
        <v>136</v>
      </c>
      <c r="C43" s="181"/>
      <c r="D43" s="181" t="s">
        <v>137</v>
      </c>
      <c r="E43" s="158" t="s">
        <v>401</v>
      </c>
      <c r="F43" s="181">
        <v>119520</v>
      </c>
      <c r="G43" s="182" t="s">
        <v>151</v>
      </c>
      <c r="H43" s="189">
        <v>40</v>
      </c>
      <c r="I43" s="158">
        <v>2009</v>
      </c>
      <c r="J43" s="158">
        <v>2022</v>
      </c>
      <c r="K43" s="184">
        <v>13</v>
      </c>
      <c r="L43" s="193">
        <v>2022</v>
      </c>
      <c r="M43" s="190">
        <v>40</v>
      </c>
    </row>
    <row r="44" spans="1:13" x14ac:dyDescent="0.3">
      <c r="A44" s="174" t="s">
        <v>140</v>
      </c>
      <c r="B44" s="175" t="s">
        <v>136</v>
      </c>
      <c r="C44" s="175"/>
      <c r="D44" s="175" t="s">
        <v>137</v>
      </c>
      <c r="E44" s="172" t="s">
        <v>402</v>
      </c>
      <c r="F44" s="175">
        <v>120154</v>
      </c>
      <c r="G44" s="176" t="s">
        <v>196</v>
      </c>
      <c r="H44" s="191">
        <v>90</v>
      </c>
      <c r="I44" s="172">
        <v>2012</v>
      </c>
      <c r="J44" s="172">
        <v>2022</v>
      </c>
      <c r="K44" s="178">
        <v>10</v>
      </c>
      <c r="L44" s="193">
        <v>2022</v>
      </c>
      <c r="M44" s="188">
        <v>90</v>
      </c>
    </row>
    <row r="45" spans="1:13" x14ac:dyDescent="0.3">
      <c r="A45" s="180" t="s">
        <v>145</v>
      </c>
      <c r="B45" s="181" t="s">
        <v>136</v>
      </c>
      <c r="C45" s="181"/>
      <c r="D45" s="181" t="s">
        <v>137</v>
      </c>
      <c r="E45" s="158" t="s">
        <v>403</v>
      </c>
      <c r="F45" s="181">
        <v>118876</v>
      </c>
      <c r="G45" s="182" t="s">
        <v>149</v>
      </c>
      <c r="H45" s="189">
        <v>223.44444444444446</v>
      </c>
      <c r="I45" s="158">
        <v>2004</v>
      </c>
      <c r="J45" s="158">
        <v>2022</v>
      </c>
      <c r="K45" s="184">
        <v>18</v>
      </c>
      <c r="L45" s="193">
        <v>2022</v>
      </c>
      <c r="M45" s="190">
        <v>223.44444444444446</v>
      </c>
    </row>
    <row r="46" spans="1:13" x14ac:dyDescent="0.3">
      <c r="A46" s="174" t="s">
        <v>153</v>
      </c>
      <c r="B46" s="175" t="s">
        <v>136</v>
      </c>
      <c r="C46" s="175"/>
      <c r="D46" s="175" t="s">
        <v>137</v>
      </c>
      <c r="E46" s="172" t="s">
        <v>404</v>
      </c>
      <c r="F46" s="175">
        <v>119406</v>
      </c>
      <c r="G46" s="176" t="s">
        <v>192</v>
      </c>
      <c r="H46" s="191">
        <v>107.63888888888889</v>
      </c>
      <c r="I46" s="172">
        <v>2011</v>
      </c>
      <c r="J46" s="172">
        <v>2022</v>
      </c>
      <c r="K46" s="178">
        <v>11</v>
      </c>
      <c r="L46" s="193">
        <v>2022</v>
      </c>
      <c r="M46" s="188">
        <v>107.63888888888889</v>
      </c>
    </row>
    <row r="47" spans="1:13" x14ac:dyDescent="0.3">
      <c r="A47" s="180" t="s">
        <v>143</v>
      </c>
      <c r="B47" s="181" t="s">
        <v>136</v>
      </c>
      <c r="C47" s="181"/>
      <c r="D47" s="181" t="s">
        <v>137</v>
      </c>
      <c r="E47" s="158" t="s">
        <v>405</v>
      </c>
      <c r="F47" s="181">
        <v>118200</v>
      </c>
      <c r="G47" s="182" t="s">
        <v>190</v>
      </c>
      <c r="H47" s="189">
        <v>803.80952380952385</v>
      </c>
      <c r="I47" s="158">
        <v>2009</v>
      </c>
      <c r="J47" s="158">
        <v>2022</v>
      </c>
      <c r="K47" s="184">
        <v>13</v>
      </c>
      <c r="L47" s="193">
        <v>2022</v>
      </c>
      <c r="M47" s="190">
        <v>803.80952380952385</v>
      </c>
    </row>
    <row r="48" spans="1:13" x14ac:dyDescent="0.3">
      <c r="A48" s="174" t="s">
        <v>143</v>
      </c>
      <c r="B48" s="175"/>
      <c r="C48" s="175"/>
      <c r="D48" s="175" t="s">
        <v>137</v>
      </c>
      <c r="E48" s="172" t="s">
        <v>406</v>
      </c>
      <c r="F48" s="175">
        <v>118856</v>
      </c>
      <c r="G48" s="176" t="s">
        <v>165</v>
      </c>
      <c r="H48" s="191">
        <v>130.83333333333334</v>
      </c>
      <c r="I48" s="172">
        <v>2007</v>
      </c>
      <c r="J48" s="172">
        <v>2022</v>
      </c>
      <c r="K48" s="178">
        <v>15</v>
      </c>
      <c r="L48" s="193">
        <v>2022</v>
      </c>
      <c r="M48" s="188">
        <v>130.83333333333334</v>
      </c>
    </row>
    <row r="49" spans="1:13" x14ac:dyDescent="0.3">
      <c r="A49" s="180" t="s">
        <v>143</v>
      </c>
      <c r="B49" s="181" t="s">
        <v>136</v>
      </c>
      <c r="C49" s="181"/>
      <c r="D49" s="181" t="s">
        <v>137</v>
      </c>
      <c r="E49" s="158" t="s">
        <v>407</v>
      </c>
      <c r="F49" s="181">
        <v>118285</v>
      </c>
      <c r="G49" s="182" t="s">
        <v>151</v>
      </c>
      <c r="H49" s="189">
        <v>404.04761904761904</v>
      </c>
      <c r="I49" s="158">
        <v>2009</v>
      </c>
      <c r="J49" s="158">
        <v>2022</v>
      </c>
      <c r="K49" s="184">
        <v>13</v>
      </c>
      <c r="L49" s="193">
        <v>2022</v>
      </c>
      <c r="M49" s="190">
        <v>404.04761904761904</v>
      </c>
    </row>
    <row r="50" spans="1:13" x14ac:dyDescent="0.3">
      <c r="A50" s="174" t="s">
        <v>145</v>
      </c>
      <c r="B50" s="175" t="s">
        <v>136</v>
      </c>
      <c r="C50" s="175"/>
      <c r="D50" s="175" t="s">
        <v>137</v>
      </c>
      <c r="E50" s="172" t="s">
        <v>408</v>
      </c>
      <c r="F50" s="175">
        <v>116371</v>
      </c>
      <c r="G50" s="176" t="s">
        <v>185</v>
      </c>
      <c r="H50" s="191">
        <v>2051.1923076923081</v>
      </c>
      <c r="I50" s="172">
        <v>2006</v>
      </c>
      <c r="J50" s="172">
        <v>2022</v>
      </c>
      <c r="K50" s="178">
        <v>16</v>
      </c>
      <c r="L50" s="193">
        <v>2022</v>
      </c>
      <c r="M50" s="188">
        <v>2051.1923076923081</v>
      </c>
    </row>
    <row r="51" spans="1:13" x14ac:dyDescent="0.3">
      <c r="A51" s="180" t="s">
        <v>145</v>
      </c>
      <c r="B51" s="181" t="s">
        <v>136</v>
      </c>
      <c r="C51" s="181"/>
      <c r="D51" s="181" t="s">
        <v>137</v>
      </c>
      <c r="E51" s="158" t="s">
        <v>409</v>
      </c>
      <c r="F51" s="181">
        <v>116580</v>
      </c>
      <c r="G51" s="182" t="s">
        <v>185</v>
      </c>
      <c r="H51" s="189">
        <v>2541.1370296370319</v>
      </c>
      <c r="I51" s="158">
        <v>2006</v>
      </c>
      <c r="J51" s="158">
        <v>2022</v>
      </c>
      <c r="K51" s="184">
        <v>16</v>
      </c>
      <c r="L51" s="193">
        <v>2022</v>
      </c>
      <c r="M51" s="190">
        <v>2541.1370296370319</v>
      </c>
    </row>
    <row r="52" spans="1:13" x14ac:dyDescent="0.3">
      <c r="A52" s="174" t="s">
        <v>145</v>
      </c>
      <c r="B52" s="175" t="s">
        <v>136</v>
      </c>
      <c r="C52" s="175"/>
      <c r="D52" s="175" t="s">
        <v>137</v>
      </c>
      <c r="E52" s="172" t="s">
        <v>410</v>
      </c>
      <c r="F52" s="175">
        <v>119765</v>
      </c>
      <c r="G52" s="176" t="s">
        <v>147</v>
      </c>
      <c r="H52" s="191">
        <v>249.70588235294116</v>
      </c>
      <c r="I52" s="172">
        <v>2008</v>
      </c>
      <c r="J52" s="172">
        <v>2022</v>
      </c>
      <c r="K52" s="178">
        <v>14</v>
      </c>
      <c r="L52" s="193">
        <v>2022</v>
      </c>
      <c r="M52" s="188">
        <v>249.70588235294116</v>
      </c>
    </row>
    <row r="53" spans="1:13" x14ac:dyDescent="0.3">
      <c r="A53" s="180" t="s">
        <v>143</v>
      </c>
      <c r="B53" s="181"/>
      <c r="C53" s="181"/>
      <c r="D53" s="181" t="s">
        <v>137</v>
      </c>
      <c r="E53" s="158" t="s">
        <v>411</v>
      </c>
      <c r="F53" s="181">
        <v>117499</v>
      </c>
      <c r="G53" s="182" t="s">
        <v>237</v>
      </c>
      <c r="H53" s="189">
        <v>0</v>
      </c>
      <c r="I53" s="158"/>
      <c r="J53" s="158">
        <v>2022</v>
      </c>
      <c r="K53" s="184">
        <v>2022</v>
      </c>
      <c r="L53" s="193">
        <v>2022</v>
      </c>
      <c r="M53" s="190">
        <v>0</v>
      </c>
    </row>
    <row r="54" spans="1:13" x14ac:dyDescent="0.3">
      <c r="A54" s="174" t="s">
        <v>135</v>
      </c>
      <c r="B54" s="175" t="s">
        <v>136</v>
      </c>
      <c r="C54" s="175"/>
      <c r="D54" s="175" t="s">
        <v>137</v>
      </c>
      <c r="E54" s="172" t="s">
        <v>412</v>
      </c>
      <c r="F54" s="175">
        <v>117408</v>
      </c>
      <c r="G54" s="176" t="s">
        <v>228</v>
      </c>
      <c r="H54" s="191">
        <v>1398.7680375180375</v>
      </c>
      <c r="I54" s="172">
        <v>2005</v>
      </c>
      <c r="J54" s="172">
        <v>2022</v>
      </c>
      <c r="K54" s="178">
        <v>17</v>
      </c>
      <c r="L54" s="193">
        <v>2022</v>
      </c>
      <c r="M54" s="188">
        <v>1398.7680375180375</v>
      </c>
    </row>
    <row r="55" spans="1:13" x14ac:dyDescent="0.3">
      <c r="A55" s="180" t="s">
        <v>140</v>
      </c>
      <c r="B55" s="181" t="s">
        <v>413</v>
      </c>
      <c r="C55" s="181"/>
      <c r="D55" s="181" t="s">
        <v>137</v>
      </c>
      <c r="E55" s="158" t="s">
        <v>414</v>
      </c>
      <c r="F55" s="181">
        <v>119385</v>
      </c>
      <c r="G55" s="158" t="s">
        <v>190</v>
      </c>
      <c r="H55" s="189">
        <v>80</v>
      </c>
      <c r="I55" s="158">
        <v>2010</v>
      </c>
      <c r="J55" s="158">
        <v>2022</v>
      </c>
      <c r="K55" s="184">
        <v>12</v>
      </c>
      <c r="L55" s="193">
        <v>2022</v>
      </c>
      <c r="M55" s="190">
        <v>80</v>
      </c>
    </row>
    <row r="56" spans="1:13" x14ac:dyDescent="0.3">
      <c r="A56" s="174" t="s">
        <v>143</v>
      </c>
      <c r="B56" s="175"/>
      <c r="C56" s="175"/>
      <c r="D56" s="175" t="s">
        <v>137</v>
      </c>
      <c r="E56" s="172" t="s">
        <v>415</v>
      </c>
      <c r="F56" s="175">
        <v>118243</v>
      </c>
      <c r="G56" s="172" t="s">
        <v>207</v>
      </c>
      <c r="H56" s="191">
        <v>62</v>
      </c>
      <c r="I56" s="172">
        <v>2006</v>
      </c>
      <c r="J56" s="172">
        <v>2022</v>
      </c>
      <c r="K56" s="178">
        <v>16</v>
      </c>
      <c r="L56" s="193">
        <v>2022</v>
      </c>
      <c r="M56" s="188">
        <v>62</v>
      </c>
    </row>
    <row r="57" spans="1:13" x14ac:dyDescent="0.3">
      <c r="A57" s="180" t="s">
        <v>143</v>
      </c>
      <c r="B57" s="181" t="s">
        <v>136</v>
      </c>
      <c r="C57" s="181"/>
      <c r="D57" s="181" t="s">
        <v>360</v>
      </c>
      <c r="E57" s="158" t="s">
        <v>416</v>
      </c>
      <c r="F57" s="181">
        <v>114255</v>
      </c>
      <c r="G57" s="158" t="s">
        <v>185</v>
      </c>
      <c r="H57" s="189">
        <v>3332.6706349206338</v>
      </c>
      <c r="I57" s="158">
        <v>2003</v>
      </c>
      <c r="J57" s="158">
        <v>2022</v>
      </c>
      <c r="K57" s="184">
        <v>19</v>
      </c>
      <c r="L57" s="193">
        <v>2022</v>
      </c>
      <c r="M57" s="190">
        <v>3332.6706349206338</v>
      </c>
    </row>
    <row r="58" spans="1:13" x14ac:dyDescent="0.3">
      <c r="A58" s="174" t="s">
        <v>143</v>
      </c>
      <c r="B58" s="175" t="s">
        <v>136</v>
      </c>
      <c r="C58" s="175"/>
      <c r="D58" s="175" t="s">
        <v>137</v>
      </c>
      <c r="E58" s="172" t="s">
        <v>417</v>
      </c>
      <c r="F58" s="175">
        <v>120204</v>
      </c>
      <c r="G58" s="172" t="s">
        <v>165</v>
      </c>
      <c r="H58" s="191">
        <v>80.833333333333343</v>
      </c>
      <c r="I58" s="172">
        <v>2006</v>
      </c>
      <c r="J58" s="172">
        <v>2022</v>
      </c>
      <c r="K58" s="178">
        <v>16</v>
      </c>
      <c r="L58" s="193">
        <v>2022</v>
      </c>
      <c r="M58" s="188">
        <v>80.833333333333343</v>
      </c>
    </row>
    <row r="59" spans="1:13" x14ac:dyDescent="0.3">
      <c r="A59" s="180" t="s">
        <v>153</v>
      </c>
      <c r="B59" s="181" t="s">
        <v>136</v>
      </c>
      <c r="C59" s="181"/>
      <c r="D59" s="181" t="s">
        <v>137</v>
      </c>
      <c r="E59" s="158" t="s">
        <v>418</v>
      </c>
      <c r="F59" s="181">
        <v>119474</v>
      </c>
      <c r="G59" s="158" t="s">
        <v>419</v>
      </c>
      <c r="H59" s="189">
        <v>5</v>
      </c>
      <c r="I59" s="158">
        <v>2010</v>
      </c>
      <c r="J59" s="158">
        <v>2022</v>
      </c>
      <c r="K59" s="184">
        <v>12</v>
      </c>
      <c r="L59" s="193">
        <v>2022</v>
      </c>
      <c r="M59" s="190">
        <v>5</v>
      </c>
    </row>
    <row r="60" spans="1:13" x14ac:dyDescent="0.3">
      <c r="A60" s="174" t="s">
        <v>140</v>
      </c>
      <c r="B60" s="175" t="s">
        <v>136</v>
      </c>
      <c r="C60" s="175"/>
      <c r="D60" s="175" t="s">
        <v>137</v>
      </c>
      <c r="E60" s="172" t="s">
        <v>420</v>
      </c>
      <c r="F60" s="175">
        <v>119188</v>
      </c>
      <c r="G60" s="172" t="s">
        <v>161</v>
      </c>
      <c r="H60" s="191">
        <v>170.1010101010101</v>
      </c>
      <c r="I60" s="172">
        <v>2012</v>
      </c>
      <c r="J60" s="172">
        <v>2022</v>
      </c>
      <c r="K60" s="178">
        <v>10</v>
      </c>
      <c r="L60" s="193">
        <v>2022</v>
      </c>
      <c r="M60" s="188">
        <v>170.1010101010101</v>
      </c>
    </row>
    <row r="61" spans="1:13" x14ac:dyDescent="0.3">
      <c r="A61" s="180" t="s">
        <v>135</v>
      </c>
      <c r="B61" s="181" t="s">
        <v>136</v>
      </c>
      <c r="C61" s="181"/>
      <c r="D61" s="181" t="s">
        <v>137</v>
      </c>
      <c r="E61" s="158" t="s">
        <v>421</v>
      </c>
      <c r="F61" s="181">
        <v>116964</v>
      </c>
      <c r="G61" s="158" t="s">
        <v>139</v>
      </c>
      <c r="H61" s="189">
        <v>136</v>
      </c>
      <c r="I61" s="158">
        <v>2006</v>
      </c>
      <c r="J61" s="158">
        <v>2022</v>
      </c>
      <c r="K61" s="184">
        <v>16</v>
      </c>
      <c r="L61" s="193">
        <v>2022</v>
      </c>
      <c r="M61" s="190">
        <v>136</v>
      </c>
    </row>
    <row r="62" spans="1:13" x14ac:dyDescent="0.3">
      <c r="A62" s="174" t="s">
        <v>153</v>
      </c>
      <c r="B62" s="175" t="s">
        <v>136</v>
      </c>
      <c r="C62" s="175"/>
      <c r="D62" s="175" t="s">
        <v>137</v>
      </c>
      <c r="E62" s="172" t="s">
        <v>422</v>
      </c>
      <c r="F62" s="175">
        <v>118847</v>
      </c>
      <c r="G62" s="172" t="s">
        <v>275</v>
      </c>
      <c r="H62" s="191">
        <v>207.11111111111109</v>
      </c>
      <c r="I62" s="172">
        <v>2010</v>
      </c>
      <c r="J62" s="172">
        <v>2022</v>
      </c>
      <c r="K62" s="178">
        <v>12</v>
      </c>
      <c r="L62" s="193">
        <v>2022</v>
      </c>
      <c r="M62" s="188">
        <v>207.11111111111109</v>
      </c>
    </row>
    <row r="63" spans="1:13" x14ac:dyDescent="0.3">
      <c r="A63" s="180" t="s">
        <v>143</v>
      </c>
      <c r="B63" s="181" t="s">
        <v>136</v>
      </c>
      <c r="C63" s="181"/>
      <c r="D63" s="181" t="s">
        <v>137</v>
      </c>
      <c r="E63" s="158" t="s">
        <v>423</v>
      </c>
      <c r="F63" s="181">
        <v>116634</v>
      </c>
      <c r="G63" s="158" t="s">
        <v>161</v>
      </c>
      <c r="H63" s="189">
        <v>2068.4126984126983</v>
      </c>
      <c r="I63" s="158">
        <v>2006</v>
      </c>
      <c r="J63" s="158">
        <v>2022</v>
      </c>
      <c r="K63" s="184">
        <v>16</v>
      </c>
      <c r="L63" s="193">
        <v>2022</v>
      </c>
      <c r="M63" s="190">
        <v>2068.4126984126983</v>
      </c>
    </row>
    <row r="64" spans="1:13" x14ac:dyDescent="0.3">
      <c r="A64" s="174" t="s">
        <v>140</v>
      </c>
      <c r="B64" s="175" t="s">
        <v>136</v>
      </c>
      <c r="C64" s="175"/>
      <c r="D64" s="175" t="s">
        <v>137</v>
      </c>
      <c r="E64" s="172" t="s">
        <v>424</v>
      </c>
      <c r="F64" s="175">
        <v>118820</v>
      </c>
      <c r="G64" s="172" t="s">
        <v>190</v>
      </c>
      <c r="H64" s="191">
        <v>265.6150793650794</v>
      </c>
      <c r="I64" s="172">
        <v>2010</v>
      </c>
      <c r="J64" s="172">
        <v>2022</v>
      </c>
      <c r="K64" s="178">
        <v>12</v>
      </c>
      <c r="L64" s="193">
        <v>2022</v>
      </c>
      <c r="M64" s="188">
        <v>265.6150793650794</v>
      </c>
    </row>
    <row r="65" spans="1:13" x14ac:dyDescent="0.3">
      <c r="A65" s="180" t="s">
        <v>169</v>
      </c>
      <c r="B65" s="181" t="s">
        <v>136</v>
      </c>
      <c r="C65" s="181"/>
      <c r="D65" s="181" t="s">
        <v>137</v>
      </c>
      <c r="E65" s="158" t="s">
        <v>425</v>
      </c>
      <c r="F65" s="181">
        <v>119330</v>
      </c>
      <c r="G65" s="158" t="s">
        <v>185</v>
      </c>
      <c r="H65" s="189">
        <v>148</v>
      </c>
      <c r="I65" s="158">
        <v>2011</v>
      </c>
      <c r="J65" s="158">
        <v>2022</v>
      </c>
      <c r="K65" s="184">
        <v>11</v>
      </c>
      <c r="L65" s="193">
        <v>2022</v>
      </c>
      <c r="M65" s="190">
        <v>148</v>
      </c>
    </row>
    <row r="66" spans="1:13" x14ac:dyDescent="0.3">
      <c r="A66" s="180" t="s">
        <v>143</v>
      </c>
      <c r="B66" s="181" t="s">
        <v>136</v>
      </c>
      <c r="C66" s="181"/>
      <c r="D66" s="181" t="s">
        <v>137</v>
      </c>
      <c r="E66" s="158" t="s">
        <v>220</v>
      </c>
      <c r="F66" s="181">
        <v>116727</v>
      </c>
      <c r="G66" s="182" t="s">
        <v>147</v>
      </c>
      <c r="H66" s="183">
        <f>Tabel2[[#This Row],[pnt t/m 2021/22]]+Tabel2[[#This Row],[pnt 2022/2023]]</f>
        <v>577.20779220779218</v>
      </c>
      <c r="I66" s="158">
        <v>2006</v>
      </c>
      <c r="J66" s="205">
        <v>2022</v>
      </c>
      <c r="K66" s="184">
        <v>16</v>
      </c>
      <c r="L66" s="194">
        <v>2023</v>
      </c>
      <c r="M66" s="206">
        <v>305</v>
      </c>
    </row>
    <row r="67" spans="1:13" x14ac:dyDescent="0.3">
      <c r="A67" s="180" t="s">
        <v>135</v>
      </c>
      <c r="B67" s="181" t="s">
        <v>136</v>
      </c>
      <c r="C67" s="181">
        <v>168</v>
      </c>
      <c r="D67" s="181" t="s">
        <v>137</v>
      </c>
      <c r="E67" s="158" t="s">
        <v>344</v>
      </c>
      <c r="F67" s="181">
        <v>116758</v>
      </c>
      <c r="G67" s="182" t="s">
        <v>309</v>
      </c>
      <c r="H67" s="189">
        <f>Tabel2[[#This Row],[pnt t/m 2021/22]]+Tabel2[[#This Row],[pnt 2022/2023]]</f>
        <v>609.15811965811963</v>
      </c>
      <c r="I67" s="158">
        <v>2007</v>
      </c>
      <c r="J67" s="158">
        <v>2023</v>
      </c>
      <c r="K67" s="184">
        <v>14</v>
      </c>
      <c r="L67" s="207">
        <v>2023</v>
      </c>
      <c r="M67" s="190">
        <v>2715.181818181818</v>
      </c>
    </row>
  </sheetData>
  <conditionalFormatting sqref="K2:K66">
    <cfRule type="cellIs" dxfId="57" priority="23" operator="greaterThan">
      <formula>2000</formula>
    </cfRule>
  </conditionalFormatting>
  <conditionalFormatting sqref="I2:I60">
    <cfRule type="cellIs" dxfId="56" priority="22" operator="lessThan">
      <formula>1990</formula>
    </cfRule>
  </conditionalFormatting>
  <conditionalFormatting sqref="F59:F60 F42:F57 F2:F39">
    <cfRule type="cellIs" dxfId="55" priority="21" operator="lessThan">
      <formula>1</formula>
    </cfRule>
  </conditionalFormatting>
  <conditionalFormatting sqref="D2:D62">
    <cfRule type="containsText" dxfId="54" priority="18" operator="containsText" text="achterstallig">
      <formula>NOT(ISERROR(SEARCH("achterstallig",D2)))</formula>
    </cfRule>
    <cfRule type="containsText" dxfId="53" priority="19" operator="containsText" text="deels">
      <formula>NOT(ISERROR(SEARCH("deels",D2)))</formula>
    </cfRule>
    <cfRule type="containsText" dxfId="52" priority="20" operator="containsText" text="abonnement">
      <formula>NOT(ISERROR(SEARCH("abonnement",D2)))</formula>
    </cfRule>
  </conditionalFormatting>
  <conditionalFormatting sqref="I30">
    <cfRule type="cellIs" dxfId="51" priority="17" operator="lessThan">
      <formula>2000</formula>
    </cfRule>
  </conditionalFormatting>
  <conditionalFormatting sqref="I38">
    <cfRule type="cellIs" dxfId="50" priority="16" operator="lessThan">
      <formula>2000</formula>
    </cfRule>
  </conditionalFormatting>
  <conditionalFormatting sqref="I40:I42">
    <cfRule type="cellIs" dxfId="49" priority="15" operator="lessThan">
      <formula>2000</formula>
    </cfRule>
  </conditionalFormatting>
  <conditionalFormatting sqref="D63:D65">
    <cfRule type="containsText" dxfId="48" priority="12" operator="containsText" text="achterstallig">
      <formula>NOT(ISERROR(SEARCH("achterstallig",D63)))</formula>
    </cfRule>
    <cfRule type="containsText" dxfId="47" priority="13" operator="containsText" text="deels">
      <formula>NOT(ISERROR(SEARCH("deels",D63)))</formula>
    </cfRule>
    <cfRule type="containsText" dxfId="46" priority="14" operator="containsText" text="abonnement">
      <formula>NOT(ISERROR(SEARCH("abonnement",D63)))</formula>
    </cfRule>
  </conditionalFormatting>
  <conditionalFormatting sqref="I66">
    <cfRule type="cellIs" dxfId="45" priority="11" operator="lessThan">
      <formula>1990</formula>
    </cfRule>
  </conditionalFormatting>
  <conditionalFormatting sqref="F66">
    <cfRule type="cellIs" dxfId="44" priority="10" operator="lessThan">
      <formula>1</formula>
    </cfRule>
  </conditionalFormatting>
  <conditionalFormatting sqref="D66">
    <cfRule type="containsText" dxfId="43" priority="7" operator="containsText" text="achterstallig">
      <formula>NOT(ISERROR(SEARCH("achterstallig",D66)))</formula>
    </cfRule>
    <cfRule type="containsText" dxfId="42" priority="8" operator="containsText" text="deels">
      <formula>NOT(ISERROR(SEARCH("deels",D66)))</formula>
    </cfRule>
    <cfRule type="containsText" dxfId="41" priority="9" operator="containsText" text="abonnement">
      <formula>NOT(ISERROR(SEARCH("abonnement",D66)))</formula>
    </cfRule>
  </conditionalFormatting>
  <conditionalFormatting sqref="K67">
    <cfRule type="cellIs" dxfId="40" priority="6" operator="greaterThan">
      <formula>2000</formula>
    </cfRule>
  </conditionalFormatting>
  <conditionalFormatting sqref="I67">
    <cfRule type="cellIs" dxfId="39" priority="5" operator="lessThan">
      <formula>1990</formula>
    </cfRule>
  </conditionalFormatting>
  <conditionalFormatting sqref="F67">
    <cfRule type="cellIs" dxfId="38" priority="4" operator="lessThan">
      <formula>1</formula>
    </cfRule>
  </conditionalFormatting>
  <conditionalFormatting sqref="D67">
    <cfRule type="containsText" dxfId="37" priority="1" operator="containsText" text="achterstallig">
      <formula>NOT(ISERROR(SEARCH("achterstallig",D67)))</formula>
    </cfRule>
    <cfRule type="containsText" dxfId="36" priority="2" operator="containsText" text="deels">
      <formula>NOT(ISERROR(SEARCH("deels",D67)))</formula>
    </cfRule>
    <cfRule type="containsText" dxfId="35" priority="3" operator="containsText" text="abonnement">
      <formula>NOT(ISERROR(SEARCH("abonnement",D67)))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dcterms:created xsi:type="dcterms:W3CDTF">2022-07-25T11:08:30Z</dcterms:created>
  <dcterms:modified xsi:type="dcterms:W3CDTF">2023-10-22T13:30:49Z</dcterms:modified>
  <cp:category/>
  <cp:contentStatus/>
</cp:coreProperties>
</file>