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3-2024/"/>
    </mc:Choice>
  </mc:AlternateContent>
  <xr:revisionPtr revIDLastSave="6" documentId="8_{CFC1D91F-054D-4D67-9D41-58EA0D25D057}" xr6:coauthVersionLast="47" xr6:coauthVersionMax="47" xr10:uidLastSave="{5A4DF0FA-EB76-4EEA-A7B9-895F737E6146}"/>
  <bookViews>
    <workbookView xWindow="-108" yWindow="-108" windowWidth="23256" windowHeight="12720" activeTab="1" xr2:uid="{797464E5-ADE6-4904-9579-DC46FFAFF690}"/>
  </bookViews>
  <sheets>
    <sheet name="Aantallen" sheetId="4" r:id="rId1"/>
    <sheet name="Deelnemers" sheetId="2" r:id="rId2"/>
    <sheet name="Poulestaten" sheetId="5" r:id="rId3"/>
    <sheet name="Scheidsrechters" sheetId="8" r:id="rId4"/>
    <sheet name="Controle materiaal" sheetId="6" r:id="rId5"/>
    <sheet name="vm deelnemers 2023" sheetId="9" r:id="rId6"/>
  </sheets>
  <definedNames>
    <definedName name="_xlnm._FilterDatabase" localSheetId="2" hidden="1">Poulestaten!$Z$23:$Z$24</definedName>
    <definedName name="_xlnm.Print_Area" localSheetId="2">Poulestaten!$A$71:$V$94</definedName>
    <definedName name="Slicer_Vereniging">#N/A</definedName>
    <definedName name="Slicer_wapen">#N/A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8" l="1"/>
  <c r="I12" i="8" s="1"/>
  <c r="Y152" i="2"/>
  <c r="Y155" i="2"/>
  <c r="Y40" i="2"/>
  <c r="Y55" i="2"/>
  <c r="Y177" i="2"/>
  <c r="Y130" i="2"/>
  <c r="Y50" i="2"/>
  <c r="Y8" i="2"/>
  <c r="H120" i="2"/>
  <c r="K72" i="2" l="1"/>
  <c r="J16" i="4"/>
  <c r="I7" i="4" l="1"/>
  <c r="I8" i="4"/>
  <c r="I9" i="4"/>
  <c r="I10" i="4"/>
  <c r="I11" i="4"/>
  <c r="I12" i="4"/>
  <c r="I13" i="4"/>
  <c r="I14" i="4"/>
  <c r="I15" i="4"/>
  <c r="I6" i="4"/>
  <c r="D16" i="4"/>
  <c r="E16" i="4"/>
  <c r="F16" i="4"/>
  <c r="G16" i="4"/>
  <c r="H16" i="4"/>
  <c r="C16" i="4"/>
  <c r="B77" i="8"/>
  <c r="J77" i="8"/>
  <c r="U77" i="8"/>
  <c r="T77" i="8"/>
  <c r="S77" i="8"/>
  <c r="R77" i="8"/>
  <c r="Q77" i="8"/>
  <c r="P77" i="8"/>
  <c r="O77" i="8"/>
  <c r="N77" i="8"/>
  <c r="M77" i="8"/>
  <c r="L77" i="8"/>
  <c r="K54" i="8"/>
  <c r="I54" i="8" s="1"/>
  <c r="K71" i="8"/>
  <c r="I71" i="8" s="1"/>
  <c r="K47" i="8"/>
  <c r="K76" i="8"/>
  <c r="K38" i="8"/>
  <c r="I38" i="8" s="1"/>
  <c r="K6" i="8"/>
  <c r="I6" i="8" s="1"/>
  <c r="K60" i="8"/>
  <c r="I60" i="8" s="1"/>
  <c r="K5" i="8"/>
  <c r="I5" i="8" s="1"/>
  <c r="K59" i="8"/>
  <c r="I59" i="8" s="1"/>
  <c r="K31" i="8"/>
  <c r="I31" i="8" s="1"/>
  <c r="K70" i="8"/>
  <c r="I70" i="8" s="1"/>
  <c r="K63" i="8"/>
  <c r="K37" i="8"/>
  <c r="I37" i="8" s="1"/>
  <c r="K46" i="8"/>
  <c r="I46" i="8" s="1"/>
  <c r="K49" i="8"/>
  <c r="I49" i="8" s="1"/>
  <c r="K4" i="8"/>
  <c r="I4" i="8" s="1"/>
  <c r="K50" i="8"/>
  <c r="I50" i="8" s="1"/>
  <c r="K15" i="8"/>
  <c r="I15" i="8" s="1"/>
  <c r="K53" i="8"/>
  <c r="I53" i="8" s="1"/>
  <c r="K69" i="8"/>
  <c r="K48" i="8"/>
  <c r="K42" i="8"/>
  <c r="I42" i="8" s="1"/>
  <c r="K45" i="8"/>
  <c r="I45" i="8" s="1"/>
  <c r="K28" i="8"/>
  <c r="K32" i="8"/>
  <c r="K62" i="8"/>
  <c r="I62" i="8" s="1"/>
  <c r="K14" i="8"/>
  <c r="I14" i="8" s="1"/>
  <c r="K30" i="8"/>
  <c r="K36" i="8"/>
  <c r="K35" i="8"/>
  <c r="I35" i="8" s="1"/>
  <c r="K68" i="8"/>
  <c r="I68" i="8" s="1"/>
  <c r="K44" i="8"/>
  <c r="K10" i="8"/>
  <c r="K58" i="8"/>
  <c r="I58" i="8" s="1"/>
  <c r="K41" i="8"/>
  <c r="I41" i="8" s="1"/>
  <c r="K3" i="8"/>
  <c r="K67" i="8"/>
  <c r="K66" i="8"/>
  <c r="I66" i="8" s="1"/>
  <c r="K72" i="8"/>
  <c r="I72" i="8" s="1"/>
  <c r="K40" i="8"/>
  <c r="K57" i="8"/>
  <c r="K43" i="8"/>
  <c r="I43" i="8" s="1"/>
  <c r="K52" i="8"/>
  <c r="I52" i="8" s="1"/>
  <c r="K34" i="8"/>
  <c r="K56" i="8"/>
  <c r="K13" i="8"/>
  <c r="I13" i="8" s="1"/>
  <c r="K51" i="8"/>
  <c r="I51" i="8" s="1"/>
  <c r="K23" i="8"/>
  <c r="K9" i="8"/>
  <c r="K61" i="8"/>
  <c r="I61" i="8" s="1"/>
  <c r="K65" i="8"/>
  <c r="I65" i="8" s="1"/>
  <c r="K2" i="8"/>
  <c r="I2" i="8" s="1"/>
  <c r="K29" i="8"/>
  <c r="I29" i="8" s="1"/>
  <c r="K22" i="8"/>
  <c r="I22" i="8" s="1"/>
  <c r="K75" i="8"/>
  <c r="K27" i="8"/>
  <c r="K73" i="8"/>
  <c r="I73" i="8" s="1"/>
  <c r="K55" i="8"/>
  <c r="I55" i="8" s="1"/>
  <c r="K21" i="8"/>
  <c r="I21" i="8" s="1"/>
  <c r="K8" i="8"/>
  <c r="I8" i="8" s="1"/>
  <c r="K11" i="8"/>
  <c r="I11" i="8" s="1"/>
  <c r="K25" i="8"/>
  <c r="K39" i="8"/>
  <c r="I39" i="8" s="1"/>
  <c r="K7" i="8"/>
  <c r="I7" i="8" s="1"/>
  <c r="K24" i="8"/>
  <c r="I24" i="8" s="1"/>
  <c r="K20" i="8"/>
  <c r="K74" i="8"/>
  <c r="K26" i="8"/>
  <c r="I26" i="8" s="1"/>
  <c r="K16" i="8"/>
  <c r="K19" i="8"/>
  <c r="K33" i="8"/>
  <c r="I33" i="8" s="1"/>
  <c r="K18" i="8"/>
  <c r="I18" i="8" s="1"/>
  <c r="K64" i="8"/>
  <c r="I64" i="8" s="1"/>
  <c r="K17" i="8"/>
  <c r="I16" i="4" l="1"/>
  <c r="I19" i="8"/>
  <c r="I20" i="8"/>
  <c r="I9" i="8"/>
  <c r="I56" i="8"/>
  <c r="I57" i="8"/>
  <c r="I67" i="8"/>
  <c r="I10" i="8"/>
  <c r="I36" i="8"/>
  <c r="I32" i="8"/>
  <c r="I48" i="8"/>
  <c r="I63" i="8"/>
  <c r="I16" i="8"/>
  <c r="I25" i="8"/>
  <c r="I27" i="8"/>
  <c r="I23" i="8"/>
  <c r="I34" i="8"/>
  <c r="I40" i="8"/>
  <c r="I3" i="8"/>
  <c r="I44" i="8"/>
  <c r="I30" i="8"/>
  <c r="I28" i="8"/>
  <c r="I69" i="8"/>
  <c r="I47" i="8"/>
  <c r="K77" i="8"/>
  <c r="I17" i="8"/>
  <c r="BU140" i="2"/>
  <c r="BU177" i="2"/>
  <c r="BU155" i="2"/>
  <c r="BU91" i="2"/>
  <c r="BU34"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99" i="2"/>
  <c r="CM100" i="2"/>
  <c r="CM101" i="2"/>
  <c r="CM102" i="2"/>
  <c r="CM103" i="2"/>
  <c r="CM104" i="2"/>
  <c r="CM105" i="2"/>
  <c r="CM106" i="2"/>
  <c r="CM107" i="2"/>
  <c r="CM108" i="2"/>
  <c r="CM109" i="2"/>
  <c r="CM110" i="2"/>
  <c r="CM111" i="2"/>
  <c r="CM112" i="2"/>
  <c r="CM113" i="2"/>
  <c r="CM114" i="2"/>
  <c r="CM115" i="2"/>
  <c r="CM116" i="2"/>
  <c r="CM117" i="2"/>
  <c r="CM118" i="2"/>
  <c r="CM119" i="2"/>
  <c r="CM120" i="2"/>
  <c r="CM121" i="2"/>
  <c r="CM122" i="2"/>
  <c r="CM123" i="2"/>
  <c r="CM124" i="2"/>
  <c r="CM125" i="2"/>
  <c r="CM126" i="2"/>
  <c r="CM127" i="2"/>
  <c r="CM128" i="2"/>
  <c r="CM129" i="2"/>
  <c r="CM130" i="2"/>
  <c r="CM131" i="2"/>
  <c r="CM132" i="2"/>
  <c r="CM133" i="2"/>
  <c r="CM134" i="2"/>
  <c r="CM135" i="2"/>
  <c r="CM136" i="2"/>
  <c r="CM137" i="2"/>
  <c r="CM138" i="2"/>
  <c r="CM139" i="2"/>
  <c r="CM140" i="2"/>
  <c r="CM141" i="2"/>
  <c r="CM142" i="2"/>
  <c r="CM143" i="2"/>
  <c r="CM144" i="2"/>
  <c r="CM145" i="2"/>
  <c r="CM146" i="2"/>
  <c r="CM147" i="2"/>
  <c r="CM148" i="2"/>
  <c r="CM149" i="2"/>
  <c r="CM150" i="2"/>
  <c r="CM151" i="2"/>
  <c r="CM152" i="2"/>
  <c r="CM153" i="2"/>
  <c r="CM154" i="2"/>
  <c r="CM155" i="2"/>
  <c r="CM156" i="2"/>
  <c r="CM157" i="2"/>
  <c r="CM158" i="2"/>
  <c r="CM159" i="2"/>
  <c r="CM160" i="2"/>
  <c r="CM161" i="2"/>
  <c r="CM162" i="2"/>
  <c r="CM163" i="2"/>
  <c r="CM164" i="2"/>
  <c r="CM165" i="2"/>
  <c r="CM166" i="2"/>
  <c r="CM167" i="2"/>
  <c r="CM168" i="2"/>
  <c r="CM169" i="2"/>
  <c r="CM170" i="2"/>
  <c r="CM171" i="2"/>
  <c r="CM172" i="2"/>
  <c r="CM173" i="2"/>
  <c r="CM174" i="2"/>
  <c r="CM175" i="2"/>
  <c r="CM176" i="2"/>
  <c r="CM177" i="2"/>
  <c r="CM178" i="2"/>
  <c r="CM179" i="2"/>
  <c r="CM180" i="2"/>
  <c r="CM181" i="2"/>
  <c r="CM182" i="2"/>
  <c r="CM183" i="2"/>
  <c r="CM184" i="2"/>
  <c r="CM185" i="2"/>
  <c r="CM186" i="2"/>
  <c r="CM187" i="2"/>
  <c r="CM188" i="2"/>
  <c r="CM189" i="2"/>
  <c r="CM190" i="2"/>
  <c r="CM191" i="2"/>
  <c r="CM192" i="2"/>
  <c r="CM193" i="2"/>
  <c r="CM194" i="2"/>
  <c r="CM195" i="2"/>
  <c r="CM196" i="2"/>
  <c r="CM197" i="2"/>
  <c r="CM198" i="2"/>
  <c r="CM199" i="2"/>
  <c r="CM200" i="2"/>
  <c r="CM201" i="2"/>
  <c r="CM202" i="2"/>
  <c r="CM203" i="2"/>
  <c r="CM204" i="2"/>
  <c r="CM205" i="2"/>
  <c r="CM206" i="2"/>
  <c r="CM207" i="2"/>
  <c r="CM208" i="2"/>
  <c r="CM209" i="2"/>
  <c r="CM210" i="2"/>
  <c r="CM211" i="2"/>
  <c r="CM212" i="2"/>
  <c r="CM213" i="2"/>
  <c r="CM214" i="2"/>
  <c r="CM215" i="2"/>
  <c r="CM216" i="2"/>
  <c r="CM217" i="2"/>
  <c r="CM218" i="2"/>
  <c r="CM219" i="2"/>
  <c r="CM220" i="2"/>
  <c r="CM221" i="2"/>
  <c r="CM222" i="2"/>
  <c r="CM223" i="2"/>
  <c r="CM224" i="2"/>
  <c r="CM225" i="2"/>
  <c r="CM226" i="2"/>
  <c r="CM227" i="2"/>
  <c r="CM228" i="2"/>
  <c r="CM229" i="2"/>
  <c r="CM230" i="2"/>
  <c r="CM231" i="2"/>
  <c r="CM232" i="2"/>
  <c r="CM233" i="2"/>
  <c r="CM234" i="2"/>
  <c r="CM235" i="2"/>
  <c r="CM236" i="2"/>
  <c r="CM237" i="2"/>
  <c r="CM238" i="2"/>
  <c r="CM239" i="2"/>
  <c r="CM240" i="2"/>
  <c r="CM241" i="2"/>
  <c r="CM242" i="2"/>
  <c r="CM243" i="2"/>
  <c r="CM244" i="2"/>
  <c r="CM245" i="2"/>
  <c r="CM246" i="2"/>
  <c r="CM247" i="2"/>
  <c r="CM248" i="2"/>
  <c r="CM249" i="2"/>
  <c r="CL6" i="2"/>
  <c r="CL7" i="2"/>
  <c r="CL8" i="2"/>
  <c r="CL9" i="2"/>
  <c r="CL10" i="2"/>
  <c r="CL11" i="2"/>
  <c r="CL12" i="2"/>
  <c r="CL13" i="2"/>
  <c r="CL14" i="2"/>
  <c r="CL15" i="2"/>
  <c r="CL16" i="2"/>
  <c r="CL17" i="2"/>
  <c r="CL18" i="2"/>
  <c r="CL19" i="2"/>
  <c r="CL20" i="2"/>
  <c r="CL21" i="2"/>
  <c r="CL22" i="2"/>
  <c r="CL23" i="2"/>
  <c r="CL24" i="2"/>
  <c r="CL25" i="2"/>
  <c r="CL26" i="2"/>
  <c r="CL27" i="2"/>
  <c r="CL28" i="2"/>
  <c r="CL29" i="2"/>
  <c r="CL30" i="2"/>
  <c r="CL31" i="2"/>
  <c r="CL32" i="2"/>
  <c r="CL33" i="2"/>
  <c r="CL34" i="2"/>
  <c r="CL35" i="2"/>
  <c r="CL36" i="2"/>
  <c r="CL37" i="2"/>
  <c r="CL38" i="2"/>
  <c r="CL39" i="2"/>
  <c r="CL40" i="2"/>
  <c r="CL41" i="2"/>
  <c r="CL42" i="2"/>
  <c r="CL43" i="2"/>
  <c r="CL44" i="2"/>
  <c r="CL45" i="2"/>
  <c r="CL46" i="2"/>
  <c r="CL47" i="2"/>
  <c r="CL48" i="2"/>
  <c r="CL49" i="2"/>
  <c r="CL50" i="2"/>
  <c r="CL51" i="2"/>
  <c r="CL52" i="2"/>
  <c r="CL53" i="2"/>
  <c r="CL54" i="2"/>
  <c r="CL55" i="2"/>
  <c r="CL56" i="2"/>
  <c r="CL57" i="2"/>
  <c r="CL58" i="2"/>
  <c r="CL59" i="2"/>
  <c r="CL60" i="2"/>
  <c r="CL61" i="2"/>
  <c r="CL62" i="2"/>
  <c r="CL63" i="2"/>
  <c r="CL64" i="2"/>
  <c r="CL65" i="2"/>
  <c r="CL66" i="2"/>
  <c r="CL67" i="2"/>
  <c r="CL68" i="2"/>
  <c r="CL69" i="2"/>
  <c r="CL70" i="2"/>
  <c r="CL71" i="2"/>
  <c r="CL72" i="2"/>
  <c r="CL73" i="2"/>
  <c r="CL74" i="2"/>
  <c r="CL75" i="2"/>
  <c r="CL76" i="2"/>
  <c r="CL77" i="2"/>
  <c r="CL78" i="2"/>
  <c r="CL79" i="2"/>
  <c r="CL80" i="2"/>
  <c r="CL81" i="2"/>
  <c r="CL82" i="2"/>
  <c r="CL83" i="2"/>
  <c r="CL84" i="2"/>
  <c r="CL85" i="2"/>
  <c r="CL86" i="2"/>
  <c r="CL87" i="2"/>
  <c r="CL88" i="2"/>
  <c r="CL89" i="2"/>
  <c r="CL90" i="2"/>
  <c r="CL91" i="2"/>
  <c r="CL92" i="2"/>
  <c r="CL93" i="2"/>
  <c r="CL94" i="2"/>
  <c r="CL95" i="2"/>
  <c r="CL96" i="2"/>
  <c r="CL97" i="2"/>
  <c r="CL98" i="2"/>
  <c r="CL99" i="2"/>
  <c r="CL100" i="2"/>
  <c r="CL101" i="2"/>
  <c r="CL102" i="2"/>
  <c r="CL103" i="2"/>
  <c r="CL104" i="2"/>
  <c r="CL105" i="2"/>
  <c r="CL106" i="2"/>
  <c r="CL107" i="2"/>
  <c r="CL108" i="2"/>
  <c r="CL109" i="2"/>
  <c r="CL110" i="2"/>
  <c r="CL111" i="2"/>
  <c r="CL112" i="2"/>
  <c r="CL113" i="2"/>
  <c r="CL114" i="2"/>
  <c r="CL115" i="2"/>
  <c r="CL116" i="2"/>
  <c r="CL117" i="2"/>
  <c r="CL118" i="2"/>
  <c r="CL119" i="2"/>
  <c r="CL120" i="2"/>
  <c r="CL121" i="2"/>
  <c r="CL122" i="2"/>
  <c r="CL123" i="2"/>
  <c r="CL124" i="2"/>
  <c r="CL125" i="2"/>
  <c r="CL126" i="2"/>
  <c r="CL127" i="2"/>
  <c r="CL128" i="2"/>
  <c r="CL129" i="2"/>
  <c r="CL130" i="2"/>
  <c r="CL131" i="2"/>
  <c r="CL132" i="2"/>
  <c r="CL133" i="2"/>
  <c r="CL134" i="2"/>
  <c r="CL135" i="2"/>
  <c r="CL136" i="2"/>
  <c r="CL137" i="2"/>
  <c r="CL138" i="2"/>
  <c r="CL139" i="2"/>
  <c r="CL140" i="2"/>
  <c r="CL141" i="2"/>
  <c r="CL142" i="2"/>
  <c r="CL143" i="2"/>
  <c r="CL144" i="2"/>
  <c r="CL145" i="2"/>
  <c r="CL146" i="2"/>
  <c r="CL147" i="2"/>
  <c r="CL148" i="2"/>
  <c r="CL149" i="2"/>
  <c r="CL150" i="2"/>
  <c r="CL151" i="2"/>
  <c r="CL152" i="2"/>
  <c r="CL153" i="2"/>
  <c r="CL154" i="2"/>
  <c r="CL155" i="2"/>
  <c r="CL156" i="2"/>
  <c r="CL157" i="2"/>
  <c r="CL158" i="2"/>
  <c r="CL159" i="2"/>
  <c r="CL160" i="2"/>
  <c r="CL161" i="2"/>
  <c r="CL162" i="2"/>
  <c r="CL163" i="2"/>
  <c r="CL164" i="2"/>
  <c r="CL165" i="2"/>
  <c r="CL166" i="2"/>
  <c r="CL167" i="2"/>
  <c r="CL168" i="2"/>
  <c r="CL169" i="2"/>
  <c r="CL170" i="2"/>
  <c r="CL171" i="2"/>
  <c r="CL172" i="2"/>
  <c r="CL173" i="2"/>
  <c r="CL174" i="2"/>
  <c r="CL175" i="2"/>
  <c r="CL176" i="2"/>
  <c r="CL177" i="2"/>
  <c r="CL178" i="2"/>
  <c r="CL179" i="2"/>
  <c r="CL180" i="2"/>
  <c r="CL181" i="2"/>
  <c r="CL182" i="2"/>
  <c r="CL183" i="2"/>
  <c r="CL184" i="2"/>
  <c r="CL185" i="2"/>
  <c r="CL186" i="2"/>
  <c r="CL187" i="2"/>
  <c r="CL188" i="2"/>
  <c r="CL189" i="2"/>
  <c r="CL190" i="2"/>
  <c r="CL191" i="2"/>
  <c r="CL192" i="2"/>
  <c r="CL193" i="2"/>
  <c r="CL194" i="2"/>
  <c r="CL195" i="2"/>
  <c r="CL196" i="2"/>
  <c r="CL197" i="2"/>
  <c r="CL198" i="2"/>
  <c r="CL199" i="2"/>
  <c r="CL200" i="2"/>
  <c r="CL201" i="2"/>
  <c r="CL202" i="2"/>
  <c r="CL203" i="2"/>
  <c r="CL204" i="2"/>
  <c r="CL205" i="2"/>
  <c r="CL206" i="2"/>
  <c r="CL207" i="2"/>
  <c r="CL208" i="2"/>
  <c r="CL209" i="2"/>
  <c r="CL210" i="2"/>
  <c r="CL211" i="2"/>
  <c r="CL212" i="2"/>
  <c r="CL213" i="2"/>
  <c r="CL214" i="2"/>
  <c r="CL215" i="2"/>
  <c r="CL216" i="2"/>
  <c r="CL217" i="2"/>
  <c r="CL218" i="2"/>
  <c r="CL219" i="2"/>
  <c r="CL220" i="2"/>
  <c r="CL221" i="2"/>
  <c r="CL222" i="2"/>
  <c r="CL223" i="2"/>
  <c r="CL224" i="2"/>
  <c r="CL225" i="2"/>
  <c r="CL226" i="2"/>
  <c r="CL227" i="2"/>
  <c r="CL228" i="2"/>
  <c r="CL229" i="2"/>
  <c r="CL230" i="2"/>
  <c r="CL231" i="2"/>
  <c r="CL232" i="2"/>
  <c r="CL233" i="2"/>
  <c r="CL234" i="2"/>
  <c r="CL235" i="2"/>
  <c r="CL236" i="2"/>
  <c r="CL237" i="2"/>
  <c r="CL238" i="2"/>
  <c r="CL239" i="2"/>
  <c r="CL240" i="2"/>
  <c r="CL241" i="2"/>
  <c r="CL242" i="2"/>
  <c r="CL243" i="2"/>
  <c r="CL244" i="2"/>
  <c r="CL245" i="2"/>
  <c r="CL246" i="2"/>
  <c r="CL247" i="2"/>
  <c r="CL248" i="2"/>
  <c r="CL249" i="2"/>
  <c r="CK6" i="2"/>
  <c r="CK7" i="2"/>
  <c r="CK8" i="2"/>
  <c r="CK9" i="2"/>
  <c r="CK10" i="2"/>
  <c r="CK11" i="2"/>
  <c r="CK12" i="2"/>
  <c r="CK13" i="2"/>
  <c r="CK14" i="2"/>
  <c r="CK15" i="2"/>
  <c r="CK16" i="2"/>
  <c r="CK17"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2" i="2"/>
  <c r="CK53" i="2"/>
  <c r="CK54" i="2"/>
  <c r="CK55" i="2"/>
  <c r="CK56" i="2"/>
  <c r="CK57" i="2"/>
  <c r="CK58" i="2"/>
  <c r="CK59" i="2"/>
  <c r="CK60"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00" i="2"/>
  <c r="CK101" i="2"/>
  <c r="CK102" i="2"/>
  <c r="CK103" i="2"/>
  <c r="CK104" i="2"/>
  <c r="CK105" i="2"/>
  <c r="CK106" i="2"/>
  <c r="CK107" i="2"/>
  <c r="CK108" i="2"/>
  <c r="CK109" i="2"/>
  <c r="CK110" i="2"/>
  <c r="CK111" i="2"/>
  <c r="CK112" i="2"/>
  <c r="CK113" i="2"/>
  <c r="CK114" i="2"/>
  <c r="CK115" i="2"/>
  <c r="CK116" i="2"/>
  <c r="CK117" i="2"/>
  <c r="CK118" i="2"/>
  <c r="CK119" i="2"/>
  <c r="CK120" i="2"/>
  <c r="CK121" i="2"/>
  <c r="CK122" i="2"/>
  <c r="CK123" i="2"/>
  <c r="CK124" i="2"/>
  <c r="CK125" i="2"/>
  <c r="CK126" i="2"/>
  <c r="CK127" i="2"/>
  <c r="CK128" i="2"/>
  <c r="CK129" i="2"/>
  <c r="CK130" i="2"/>
  <c r="CK131" i="2"/>
  <c r="CK132" i="2"/>
  <c r="CK133" i="2"/>
  <c r="CK134" i="2"/>
  <c r="CK135" i="2"/>
  <c r="CK136" i="2"/>
  <c r="CK137" i="2"/>
  <c r="CK138" i="2"/>
  <c r="CK139" i="2"/>
  <c r="CK140" i="2"/>
  <c r="CK141" i="2"/>
  <c r="CK142" i="2"/>
  <c r="CK143" i="2"/>
  <c r="CK144" i="2"/>
  <c r="CK145" i="2"/>
  <c r="CK146" i="2"/>
  <c r="CK147" i="2"/>
  <c r="CK148" i="2"/>
  <c r="CK149" i="2"/>
  <c r="CK150" i="2"/>
  <c r="CK151" i="2"/>
  <c r="CK152" i="2"/>
  <c r="CK153" i="2"/>
  <c r="CK154" i="2"/>
  <c r="CK155" i="2"/>
  <c r="CK156" i="2"/>
  <c r="CK157" i="2"/>
  <c r="CK158" i="2"/>
  <c r="CK159" i="2"/>
  <c r="CK160" i="2"/>
  <c r="CK161" i="2"/>
  <c r="CK162" i="2"/>
  <c r="CK163" i="2"/>
  <c r="CK164" i="2"/>
  <c r="CK165" i="2"/>
  <c r="CK166" i="2"/>
  <c r="CK167" i="2"/>
  <c r="CK168" i="2"/>
  <c r="CK169" i="2"/>
  <c r="CK170" i="2"/>
  <c r="CK171" i="2"/>
  <c r="CK172" i="2"/>
  <c r="CK173" i="2"/>
  <c r="CK174" i="2"/>
  <c r="CK175" i="2"/>
  <c r="CK176" i="2"/>
  <c r="CK177" i="2"/>
  <c r="CK178" i="2"/>
  <c r="CK179" i="2"/>
  <c r="CK180" i="2"/>
  <c r="CK181" i="2"/>
  <c r="CK182" i="2"/>
  <c r="CK183" i="2"/>
  <c r="CK184" i="2"/>
  <c r="CK185" i="2"/>
  <c r="CK186" i="2"/>
  <c r="CK187" i="2"/>
  <c r="CK188" i="2"/>
  <c r="CK189" i="2"/>
  <c r="CK190" i="2"/>
  <c r="CK191" i="2"/>
  <c r="CK192" i="2"/>
  <c r="CK193" i="2"/>
  <c r="CK194" i="2"/>
  <c r="CK195" i="2"/>
  <c r="CK196" i="2"/>
  <c r="CK197" i="2"/>
  <c r="CK198" i="2"/>
  <c r="CK199" i="2"/>
  <c r="CK200" i="2"/>
  <c r="CK201" i="2"/>
  <c r="CK202" i="2"/>
  <c r="CK203" i="2"/>
  <c r="CK204" i="2"/>
  <c r="CK205" i="2"/>
  <c r="CK206" i="2"/>
  <c r="CK207" i="2"/>
  <c r="CK208" i="2"/>
  <c r="CK209" i="2"/>
  <c r="CK210" i="2"/>
  <c r="CK211" i="2"/>
  <c r="CK212" i="2"/>
  <c r="CK213" i="2"/>
  <c r="CK214" i="2"/>
  <c r="CK215" i="2"/>
  <c r="CK216" i="2"/>
  <c r="CK217" i="2"/>
  <c r="CK218" i="2"/>
  <c r="CK219" i="2"/>
  <c r="CK220" i="2"/>
  <c r="CK221" i="2"/>
  <c r="CK222" i="2"/>
  <c r="CK223" i="2"/>
  <c r="CK224" i="2"/>
  <c r="CK225" i="2"/>
  <c r="CK226" i="2"/>
  <c r="CK227" i="2"/>
  <c r="CK228" i="2"/>
  <c r="CK229" i="2"/>
  <c r="CK230" i="2"/>
  <c r="CK231" i="2"/>
  <c r="CK232" i="2"/>
  <c r="CK233" i="2"/>
  <c r="CK234" i="2"/>
  <c r="CK235" i="2"/>
  <c r="CK236" i="2"/>
  <c r="CK237" i="2"/>
  <c r="CK238" i="2"/>
  <c r="CK239" i="2"/>
  <c r="CK240" i="2"/>
  <c r="CK241" i="2"/>
  <c r="CK242" i="2"/>
  <c r="CK243" i="2"/>
  <c r="CK244" i="2"/>
  <c r="CK245" i="2"/>
  <c r="CK246" i="2"/>
  <c r="CK247" i="2"/>
  <c r="CK248" i="2"/>
  <c r="CK249" i="2"/>
  <c r="CJ6" i="2"/>
  <c r="CJ7" i="2"/>
  <c r="CJ8" i="2"/>
  <c r="CJ9" i="2"/>
  <c r="CJ10" i="2"/>
  <c r="CJ11" i="2"/>
  <c r="CJ12" i="2"/>
  <c r="CJ13" i="2"/>
  <c r="CJ14" i="2"/>
  <c r="CJ15" i="2"/>
  <c r="CJ16" i="2"/>
  <c r="CJ17" i="2"/>
  <c r="CJ18" i="2"/>
  <c r="CJ19" i="2"/>
  <c r="CJ20" i="2"/>
  <c r="CJ21" i="2"/>
  <c r="CJ22" i="2"/>
  <c r="CJ23" i="2"/>
  <c r="CJ24" i="2"/>
  <c r="CJ25" i="2"/>
  <c r="CJ26" i="2"/>
  <c r="CJ27" i="2"/>
  <c r="CJ28" i="2"/>
  <c r="CJ29" i="2"/>
  <c r="CJ30" i="2"/>
  <c r="CJ31" i="2"/>
  <c r="CJ32" i="2"/>
  <c r="CJ33" i="2"/>
  <c r="CJ34" i="2"/>
  <c r="CJ35" i="2"/>
  <c r="CJ36" i="2"/>
  <c r="CJ37" i="2"/>
  <c r="CJ38" i="2"/>
  <c r="CJ39" i="2"/>
  <c r="CJ40" i="2"/>
  <c r="CJ41" i="2"/>
  <c r="CJ42" i="2"/>
  <c r="CJ43" i="2"/>
  <c r="CJ44" i="2"/>
  <c r="CJ45" i="2"/>
  <c r="CJ46" i="2"/>
  <c r="CJ47" i="2"/>
  <c r="CJ48" i="2"/>
  <c r="CJ49" i="2"/>
  <c r="CJ50" i="2"/>
  <c r="CJ51" i="2"/>
  <c r="CJ52" i="2"/>
  <c r="CJ53" i="2"/>
  <c r="CJ54" i="2"/>
  <c r="CJ55" i="2"/>
  <c r="CJ56" i="2"/>
  <c r="CJ57" i="2"/>
  <c r="CJ58" i="2"/>
  <c r="CJ59" i="2"/>
  <c r="CJ6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00" i="2"/>
  <c r="CJ101" i="2"/>
  <c r="CJ102" i="2"/>
  <c r="CJ103" i="2"/>
  <c r="CJ104" i="2"/>
  <c r="CJ105" i="2"/>
  <c r="CJ106" i="2"/>
  <c r="CJ107" i="2"/>
  <c r="CJ108" i="2"/>
  <c r="CJ109" i="2"/>
  <c r="CJ110" i="2"/>
  <c r="CJ111" i="2"/>
  <c r="CJ112" i="2"/>
  <c r="CJ113" i="2"/>
  <c r="CJ114" i="2"/>
  <c r="CJ115" i="2"/>
  <c r="CJ116" i="2"/>
  <c r="CJ117" i="2"/>
  <c r="CJ118" i="2"/>
  <c r="CJ119" i="2"/>
  <c r="CJ120" i="2"/>
  <c r="CJ121" i="2"/>
  <c r="CJ122" i="2"/>
  <c r="CJ123" i="2"/>
  <c r="CJ124" i="2"/>
  <c r="CJ125" i="2"/>
  <c r="CJ126" i="2"/>
  <c r="CJ127" i="2"/>
  <c r="CJ128" i="2"/>
  <c r="CJ129" i="2"/>
  <c r="CJ130" i="2"/>
  <c r="CJ131" i="2"/>
  <c r="CJ132" i="2"/>
  <c r="CJ133" i="2"/>
  <c r="CJ134" i="2"/>
  <c r="CJ135" i="2"/>
  <c r="CJ136" i="2"/>
  <c r="CJ137" i="2"/>
  <c r="CJ138" i="2"/>
  <c r="CJ139" i="2"/>
  <c r="CJ140" i="2"/>
  <c r="CJ141" i="2"/>
  <c r="CJ142" i="2"/>
  <c r="CJ143" i="2"/>
  <c r="CJ144" i="2"/>
  <c r="CJ145" i="2"/>
  <c r="CJ146" i="2"/>
  <c r="CJ147" i="2"/>
  <c r="CJ148" i="2"/>
  <c r="CJ149" i="2"/>
  <c r="CJ150" i="2"/>
  <c r="CJ151" i="2"/>
  <c r="CJ152" i="2"/>
  <c r="CJ153" i="2"/>
  <c r="CJ154" i="2"/>
  <c r="CJ155" i="2"/>
  <c r="CJ156" i="2"/>
  <c r="CJ157" i="2"/>
  <c r="CJ158" i="2"/>
  <c r="CJ159" i="2"/>
  <c r="CJ160" i="2"/>
  <c r="CJ161" i="2"/>
  <c r="CJ162" i="2"/>
  <c r="CJ163" i="2"/>
  <c r="CJ164" i="2"/>
  <c r="CJ165" i="2"/>
  <c r="CJ166" i="2"/>
  <c r="CJ167" i="2"/>
  <c r="CJ168" i="2"/>
  <c r="CJ169" i="2"/>
  <c r="CJ170" i="2"/>
  <c r="CJ171" i="2"/>
  <c r="CJ172" i="2"/>
  <c r="CJ173" i="2"/>
  <c r="CJ174" i="2"/>
  <c r="CJ175" i="2"/>
  <c r="CJ176" i="2"/>
  <c r="CJ177" i="2"/>
  <c r="CJ178" i="2"/>
  <c r="CJ179" i="2"/>
  <c r="CJ180" i="2"/>
  <c r="CJ181" i="2"/>
  <c r="CJ182" i="2"/>
  <c r="CJ183" i="2"/>
  <c r="CJ184" i="2"/>
  <c r="CJ185" i="2"/>
  <c r="CJ186" i="2"/>
  <c r="CJ187" i="2"/>
  <c r="CJ188" i="2"/>
  <c r="CJ189" i="2"/>
  <c r="CJ190" i="2"/>
  <c r="CJ191" i="2"/>
  <c r="CJ192" i="2"/>
  <c r="CJ193" i="2"/>
  <c r="CJ194" i="2"/>
  <c r="CJ195" i="2"/>
  <c r="CJ196" i="2"/>
  <c r="CJ197" i="2"/>
  <c r="CJ198" i="2"/>
  <c r="CJ199" i="2"/>
  <c r="CJ200" i="2"/>
  <c r="CJ201" i="2"/>
  <c r="CJ202" i="2"/>
  <c r="CJ203" i="2"/>
  <c r="CJ204" i="2"/>
  <c r="CJ205" i="2"/>
  <c r="CJ206" i="2"/>
  <c r="CJ207" i="2"/>
  <c r="CJ208" i="2"/>
  <c r="CJ209" i="2"/>
  <c r="CJ210" i="2"/>
  <c r="CJ211" i="2"/>
  <c r="CJ212" i="2"/>
  <c r="CJ213" i="2"/>
  <c r="CJ214" i="2"/>
  <c r="CJ215" i="2"/>
  <c r="CJ216" i="2"/>
  <c r="CJ217" i="2"/>
  <c r="CJ218" i="2"/>
  <c r="CJ219" i="2"/>
  <c r="CJ220" i="2"/>
  <c r="CJ221" i="2"/>
  <c r="CJ222" i="2"/>
  <c r="CJ223" i="2"/>
  <c r="CJ224" i="2"/>
  <c r="CJ225" i="2"/>
  <c r="CJ226" i="2"/>
  <c r="CJ227" i="2"/>
  <c r="CJ228" i="2"/>
  <c r="CJ229" i="2"/>
  <c r="CJ230" i="2"/>
  <c r="CJ231" i="2"/>
  <c r="CJ232" i="2"/>
  <c r="CJ233" i="2"/>
  <c r="CJ234" i="2"/>
  <c r="CJ235" i="2"/>
  <c r="CJ236" i="2"/>
  <c r="CJ237" i="2"/>
  <c r="CJ238" i="2"/>
  <c r="CJ239" i="2"/>
  <c r="CJ240" i="2"/>
  <c r="CJ241" i="2"/>
  <c r="CJ242" i="2"/>
  <c r="CJ243" i="2"/>
  <c r="CJ244" i="2"/>
  <c r="CJ245" i="2"/>
  <c r="CJ246" i="2"/>
  <c r="CJ247" i="2"/>
  <c r="CJ248" i="2"/>
  <c r="CJ249"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00" i="2"/>
  <c r="CI101" i="2"/>
  <c r="CI102" i="2"/>
  <c r="CI103" i="2"/>
  <c r="CI104" i="2"/>
  <c r="CI105" i="2"/>
  <c r="CI106" i="2"/>
  <c r="CI107" i="2"/>
  <c r="CI108" i="2"/>
  <c r="CI109" i="2"/>
  <c r="CI110" i="2"/>
  <c r="CI111" i="2"/>
  <c r="CI112" i="2"/>
  <c r="CI113" i="2"/>
  <c r="CI114" i="2"/>
  <c r="CI115" i="2"/>
  <c r="CI116" i="2"/>
  <c r="CI117" i="2"/>
  <c r="CI118" i="2"/>
  <c r="CI119" i="2"/>
  <c r="CI120" i="2"/>
  <c r="CI121" i="2"/>
  <c r="CI122" i="2"/>
  <c r="CI123" i="2"/>
  <c r="CI124" i="2"/>
  <c r="CI125" i="2"/>
  <c r="CI126" i="2"/>
  <c r="CI127" i="2"/>
  <c r="CI128" i="2"/>
  <c r="CI129" i="2"/>
  <c r="CI130" i="2"/>
  <c r="CI131" i="2"/>
  <c r="CI132" i="2"/>
  <c r="CI133" i="2"/>
  <c r="CI134" i="2"/>
  <c r="CI135" i="2"/>
  <c r="CI136" i="2"/>
  <c r="CI137" i="2"/>
  <c r="CI138" i="2"/>
  <c r="CI139" i="2"/>
  <c r="CI140" i="2"/>
  <c r="CI141" i="2"/>
  <c r="CI142" i="2"/>
  <c r="CI143" i="2"/>
  <c r="CI144" i="2"/>
  <c r="CI145" i="2"/>
  <c r="CI146" i="2"/>
  <c r="CI147" i="2"/>
  <c r="CI148" i="2"/>
  <c r="CI149" i="2"/>
  <c r="CI150" i="2"/>
  <c r="CI151" i="2"/>
  <c r="CI152" i="2"/>
  <c r="CI153" i="2"/>
  <c r="CI154" i="2"/>
  <c r="CI155" i="2"/>
  <c r="CI156" i="2"/>
  <c r="CI157" i="2"/>
  <c r="CI158" i="2"/>
  <c r="CI159" i="2"/>
  <c r="CI160" i="2"/>
  <c r="CI161" i="2"/>
  <c r="CI162" i="2"/>
  <c r="CI163" i="2"/>
  <c r="CI164" i="2"/>
  <c r="CI165" i="2"/>
  <c r="CI166" i="2"/>
  <c r="CI167" i="2"/>
  <c r="CI168" i="2"/>
  <c r="CI169" i="2"/>
  <c r="CI170" i="2"/>
  <c r="CI171" i="2"/>
  <c r="CI172" i="2"/>
  <c r="CI173" i="2"/>
  <c r="CI174" i="2"/>
  <c r="CI175" i="2"/>
  <c r="CI176" i="2"/>
  <c r="CI177" i="2"/>
  <c r="CI178" i="2"/>
  <c r="CI179" i="2"/>
  <c r="CI180" i="2"/>
  <c r="CI181" i="2"/>
  <c r="CI182" i="2"/>
  <c r="CI183" i="2"/>
  <c r="CI184" i="2"/>
  <c r="CI185" i="2"/>
  <c r="CI186" i="2"/>
  <c r="CI187" i="2"/>
  <c r="CI188" i="2"/>
  <c r="CI189" i="2"/>
  <c r="CI190" i="2"/>
  <c r="CI191" i="2"/>
  <c r="CI192" i="2"/>
  <c r="CI193" i="2"/>
  <c r="CI194" i="2"/>
  <c r="CI195" i="2"/>
  <c r="CI196" i="2"/>
  <c r="CI197" i="2"/>
  <c r="CI198" i="2"/>
  <c r="CI199" i="2"/>
  <c r="CI200" i="2"/>
  <c r="CI201" i="2"/>
  <c r="CI202" i="2"/>
  <c r="CI203" i="2"/>
  <c r="CI204" i="2"/>
  <c r="CI205" i="2"/>
  <c r="CI206" i="2"/>
  <c r="CI207" i="2"/>
  <c r="CI208" i="2"/>
  <c r="CI209" i="2"/>
  <c r="CI210" i="2"/>
  <c r="CI211" i="2"/>
  <c r="CI212" i="2"/>
  <c r="CI213" i="2"/>
  <c r="CI214" i="2"/>
  <c r="CI215" i="2"/>
  <c r="CI216" i="2"/>
  <c r="CI217" i="2"/>
  <c r="CI218" i="2"/>
  <c r="CI219" i="2"/>
  <c r="CI220" i="2"/>
  <c r="CI221" i="2"/>
  <c r="CI222" i="2"/>
  <c r="CI223" i="2"/>
  <c r="CI224" i="2"/>
  <c r="CI225" i="2"/>
  <c r="CI226" i="2"/>
  <c r="CI227" i="2"/>
  <c r="CI228" i="2"/>
  <c r="CI229" i="2"/>
  <c r="CI230" i="2"/>
  <c r="CI231" i="2"/>
  <c r="CI232" i="2"/>
  <c r="CI233" i="2"/>
  <c r="CI234" i="2"/>
  <c r="CI235" i="2"/>
  <c r="CI236" i="2"/>
  <c r="CI237" i="2"/>
  <c r="CI238" i="2"/>
  <c r="CI239" i="2"/>
  <c r="CI240" i="2"/>
  <c r="CI241" i="2"/>
  <c r="CI242" i="2"/>
  <c r="CI243" i="2"/>
  <c r="CI244" i="2"/>
  <c r="CI245" i="2"/>
  <c r="CI246" i="2"/>
  <c r="CI247" i="2"/>
  <c r="CI248" i="2"/>
  <c r="CI249" i="2"/>
  <c r="CH6" i="2"/>
  <c r="CH7" i="2"/>
  <c r="CH8" i="2"/>
  <c r="CH9" i="2"/>
  <c r="CH10" i="2"/>
  <c r="CH11" i="2"/>
  <c r="CH12" i="2"/>
  <c r="CH13" i="2"/>
  <c r="CH14" i="2"/>
  <c r="CH15" i="2"/>
  <c r="CH16" i="2"/>
  <c r="CH17" i="2"/>
  <c r="CH18" i="2"/>
  <c r="CH19" i="2"/>
  <c r="CH20" i="2"/>
  <c r="CH21" i="2"/>
  <c r="CH22" i="2"/>
  <c r="CH23" i="2"/>
  <c r="CH24" i="2"/>
  <c r="CH25" i="2"/>
  <c r="CH26" i="2"/>
  <c r="CH27" i="2"/>
  <c r="CH28" i="2"/>
  <c r="CH29" i="2"/>
  <c r="CH30" i="2"/>
  <c r="CH31" i="2"/>
  <c r="CH32" i="2"/>
  <c r="CH33" i="2"/>
  <c r="CH34" i="2"/>
  <c r="CH35" i="2"/>
  <c r="CH36" i="2"/>
  <c r="CH37" i="2"/>
  <c r="CH38" i="2"/>
  <c r="CH39" i="2"/>
  <c r="CH40" i="2"/>
  <c r="CH41" i="2"/>
  <c r="CH42" i="2"/>
  <c r="CH43" i="2"/>
  <c r="CH44" i="2"/>
  <c r="CH45" i="2"/>
  <c r="CH46" i="2"/>
  <c r="CH47" i="2"/>
  <c r="CH48" i="2"/>
  <c r="CH49" i="2"/>
  <c r="CH50" i="2"/>
  <c r="CH51" i="2"/>
  <c r="CH52" i="2"/>
  <c r="CH53" i="2"/>
  <c r="CH54" i="2"/>
  <c r="CH55" i="2"/>
  <c r="CH56" i="2"/>
  <c r="CH57" i="2"/>
  <c r="CH58" i="2"/>
  <c r="CH59" i="2"/>
  <c r="CH60" i="2"/>
  <c r="CH61" i="2"/>
  <c r="CH62" i="2"/>
  <c r="CH63" i="2"/>
  <c r="CH64" i="2"/>
  <c r="CH65" i="2"/>
  <c r="CH66" i="2"/>
  <c r="CH67" i="2"/>
  <c r="CH68" i="2"/>
  <c r="CH69" i="2"/>
  <c r="CH70" i="2"/>
  <c r="CH71" i="2"/>
  <c r="CH72" i="2"/>
  <c r="CH73" i="2"/>
  <c r="CH74" i="2"/>
  <c r="CH75" i="2"/>
  <c r="CH76" i="2"/>
  <c r="CH77" i="2"/>
  <c r="CH78" i="2"/>
  <c r="CH79" i="2"/>
  <c r="CH80" i="2"/>
  <c r="CH81" i="2"/>
  <c r="CH82" i="2"/>
  <c r="CH83" i="2"/>
  <c r="CH84" i="2"/>
  <c r="CH85" i="2"/>
  <c r="CH86" i="2"/>
  <c r="CH87" i="2"/>
  <c r="CH88" i="2"/>
  <c r="CH89" i="2"/>
  <c r="CH90" i="2"/>
  <c r="CH91" i="2"/>
  <c r="CH92" i="2"/>
  <c r="CH93" i="2"/>
  <c r="CH94" i="2"/>
  <c r="CH95" i="2"/>
  <c r="CH96" i="2"/>
  <c r="CH97" i="2"/>
  <c r="CH98" i="2"/>
  <c r="CH99" i="2"/>
  <c r="CH100" i="2"/>
  <c r="CH101" i="2"/>
  <c r="CH102" i="2"/>
  <c r="CH103" i="2"/>
  <c r="CH104" i="2"/>
  <c r="CH105" i="2"/>
  <c r="CH106" i="2"/>
  <c r="CH107" i="2"/>
  <c r="CH108" i="2"/>
  <c r="CH109" i="2"/>
  <c r="CH110" i="2"/>
  <c r="CH111" i="2"/>
  <c r="CH112" i="2"/>
  <c r="CH113" i="2"/>
  <c r="CH114" i="2"/>
  <c r="CH115" i="2"/>
  <c r="CH116" i="2"/>
  <c r="CH117" i="2"/>
  <c r="CH118" i="2"/>
  <c r="CH119" i="2"/>
  <c r="CH120" i="2"/>
  <c r="CH121" i="2"/>
  <c r="CH122" i="2"/>
  <c r="CH123" i="2"/>
  <c r="CH124" i="2"/>
  <c r="CH125" i="2"/>
  <c r="CH126" i="2"/>
  <c r="CH127" i="2"/>
  <c r="CH128" i="2"/>
  <c r="CH129" i="2"/>
  <c r="CH130" i="2"/>
  <c r="CH131" i="2"/>
  <c r="CH132" i="2"/>
  <c r="CH133" i="2"/>
  <c r="CH134" i="2"/>
  <c r="CH135" i="2"/>
  <c r="CH136" i="2"/>
  <c r="CH137" i="2"/>
  <c r="CH138" i="2"/>
  <c r="CH139" i="2"/>
  <c r="CH140" i="2"/>
  <c r="CH141" i="2"/>
  <c r="CH142" i="2"/>
  <c r="CH143" i="2"/>
  <c r="CH144" i="2"/>
  <c r="CH145" i="2"/>
  <c r="CH146" i="2"/>
  <c r="CH147" i="2"/>
  <c r="CH148" i="2"/>
  <c r="CH149" i="2"/>
  <c r="CH150" i="2"/>
  <c r="CH151" i="2"/>
  <c r="CH152" i="2"/>
  <c r="CH153" i="2"/>
  <c r="CH154" i="2"/>
  <c r="CH155" i="2"/>
  <c r="CH156" i="2"/>
  <c r="CH157" i="2"/>
  <c r="CH158" i="2"/>
  <c r="CH159" i="2"/>
  <c r="CH160" i="2"/>
  <c r="CH161" i="2"/>
  <c r="CH162" i="2"/>
  <c r="CH163" i="2"/>
  <c r="CH164" i="2"/>
  <c r="CH165" i="2"/>
  <c r="CH166" i="2"/>
  <c r="CH167" i="2"/>
  <c r="CH168" i="2"/>
  <c r="CH169" i="2"/>
  <c r="CH170" i="2"/>
  <c r="CH171" i="2"/>
  <c r="CH172" i="2"/>
  <c r="CH173" i="2"/>
  <c r="CH174" i="2"/>
  <c r="CH175" i="2"/>
  <c r="CH176" i="2"/>
  <c r="CH177" i="2"/>
  <c r="CH178" i="2"/>
  <c r="CH179" i="2"/>
  <c r="CH180" i="2"/>
  <c r="CH181" i="2"/>
  <c r="CH182" i="2"/>
  <c r="CH183" i="2"/>
  <c r="CH184" i="2"/>
  <c r="CH185" i="2"/>
  <c r="CH186" i="2"/>
  <c r="CH187" i="2"/>
  <c r="CH188" i="2"/>
  <c r="CH189" i="2"/>
  <c r="CH190" i="2"/>
  <c r="CH191" i="2"/>
  <c r="CH192" i="2"/>
  <c r="CH193" i="2"/>
  <c r="CH194" i="2"/>
  <c r="CH195" i="2"/>
  <c r="CH196" i="2"/>
  <c r="CH197" i="2"/>
  <c r="CH198" i="2"/>
  <c r="CH199" i="2"/>
  <c r="CH200" i="2"/>
  <c r="CH201" i="2"/>
  <c r="CH202" i="2"/>
  <c r="CH203" i="2"/>
  <c r="CH204" i="2"/>
  <c r="CH205" i="2"/>
  <c r="CH206" i="2"/>
  <c r="CH207" i="2"/>
  <c r="CH208" i="2"/>
  <c r="CH209" i="2"/>
  <c r="CH210" i="2"/>
  <c r="CH211" i="2"/>
  <c r="CH212" i="2"/>
  <c r="CH213" i="2"/>
  <c r="CH214" i="2"/>
  <c r="CH215" i="2"/>
  <c r="CH216" i="2"/>
  <c r="CH217" i="2"/>
  <c r="CH218" i="2"/>
  <c r="CH219" i="2"/>
  <c r="CH220" i="2"/>
  <c r="CH221" i="2"/>
  <c r="CH222" i="2"/>
  <c r="CH223" i="2"/>
  <c r="CH224" i="2"/>
  <c r="CH225" i="2"/>
  <c r="CH226" i="2"/>
  <c r="CH227" i="2"/>
  <c r="CH228" i="2"/>
  <c r="CH229" i="2"/>
  <c r="CH230" i="2"/>
  <c r="CH231" i="2"/>
  <c r="CH232" i="2"/>
  <c r="CH233" i="2"/>
  <c r="CH234" i="2"/>
  <c r="CH235" i="2"/>
  <c r="CH236" i="2"/>
  <c r="CH237" i="2"/>
  <c r="CH238" i="2"/>
  <c r="CH239" i="2"/>
  <c r="CH240" i="2"/>
  <c r="CH241" i="2"/>
  <c r="CH242" i="2"/>
  <c r="CH243" i="2"/>
  <c r="CH244" i="2"/>
  <c r="CH245" i="2"/>
  <c r="CH246" i="2"/>
  <c r="CH247" i="2"/>
  <c r="CH248" i="2"/>
  <c r="CH249" i="2"/>
  <c r="CG6" i="2"/>
  <c r="CG7" i="2"/>
  <c r="CG8" i="2"/>
  <c r="CG9" i="2"/>
  <c r="CG10" i="2"/>
  <c r="CG11" i="2"/>
  <c r="CG12" i="2"/>
  <c r="CG13" i="2"/>
  <c r="CG14" i="2"/>
  <c r="CG15" i="2"/>
  <c r="CG16" i="2"/>
  <c r="CG17" i="2"/>
  <c r="CG18" i="2"/>
  <c r="CG19" i="2"/>
  <c r="CG20" i="2"/>
  <c r="CG21" i="2"/>
  <c r="CG22" i="2"/>
  <c r="CG23" i="2"/>
  <c r="CG24" i="2"/>
  <c r="CG25" i="2"/>
  <c r="CG26" i="2"/>
  <c r="CG27" i="2"/>
  <c r="CG28" i="2"/>
  <c r="CG29" i="2"/>
  <c r="CG30" i="2"/>
  <c r="CG31" i="2"/>
  <c r="CG32" i="2"/>
  <c r="CG33" i="2"/>
  <c r="CG34" i="2"/>
  <c r="CG35" i="2"/>
  <c r="CG36" i="2"/>
  <c r="CG37" i="2"/>
  <c r="CG38" i="2"/>
  <c r="CG39" i="2"/>
  <c r="CG40" i="2"/>
  <c r="CG41" i="2"/>
  <c r="CG42" i="2"/>
  <c r="CG43" i="2"/>
  <c r="CG44" i="2"/>
  <c r="CG45" i="2"/>
  <c r="CG46" i="2"/>
  <c r="CG47" i="2"/>
  <c r="CG48" i="2"/>
  <c r="CG49" i="2"/>
  <c r="CG50" i="2"/>
  <c r="CG51" i="2"/>
  <c r="CG52" i="2"/>
  <c r="CG53" i="2"/>
  <c r="CG54" i="2"/>
  <c r="CG55" i="2"/>
  <c r="CG56" i="2"/>
  <c r="CG57" i="2"/>
  <c r="CG58" i="2"/>
  <c r="CG59" i="2"/>
  <c r="CG60" i="2"/>
  <c r="CG61" i="2"/>
  <c r="CG62" i="2"/>
  <c r="CG63" i="2"/>
  <c r="CG64" i="2"/>
  <c r="CG65" i="2"/>
  <c r="CG66" i="2"/>
  <c r="CG67" i="2"/>
  <c r="CG68" i="2"/>
  <c r="CG69" i="2"/>
  <c r="CG70" i="2"/>
  <c r="CG71" i="2"/>
  <c r="CG72" i="2"/>
  <c r="CG73" i="2"/>
  <c r="CG74" i="2"/>
  <c r="CG75" i="2"/>
  <c r="CG76" i="2"/>
  <c r="CG77" i="2"/>
  <c r="CG78" i="2"/>
  <c r="CG79" i="2"/>
  <c r="CG80" i="2"/>
  <c r="CG81" i="2"/>
  <c r="CG82" i="2"/>
  <c r="CG83" i="2"/>
  <c r="CG84" i="2"/>
  <c r="CG85" i="2"/>
  <c r="CG86" i="2"/>
  <c r="CG87" i="2"/>
  <c r="CG88" i="2"/>
  <c r="CG89" i="2"/>
  <c r="CG90" i="2"/>
  <c r="CG91" i="2"/>
  <c r="CG92" i="2"/>
  <c r="CG93" i="2"/>
  <c r="CG94" i="2"/>
  <c r="CG95" i="2"/>
  <c r="CG96" i="2"/>
  <c r="CG97" i="2"/>
  <c r="CG98" i="2"/>
  <c r="CG99" i="2"/>
  <c r="CG100" i="2"/>
  <c r="CG101" i="2"/>
  <c r="CG102" i="2"/>
  <c r="CG103" i="2"/>
  <c r="CG104" i="2"/>
  <c r="CG105" i="2"/>
  <c r="CG106" i="2"/>
  <c r="CG107" i="2"/>
  <c r="CG108" i="2"/>
  <c r="CG109" i="2"/>
  <c r="CG110" i="2"/>
  <c r="CG111" i="2"/>
  <c r="CG112" i="2"/>
  <c r="CG113" i="2"/>
  <c r="CG114" i="2"/>
  <c r="CG115" i="2"/>
  <c r="CG116" i="2"/>
  <c r="CG117" i="2"/>
  <c r="CG118" i="2"/>
  <c r="CG119" i="2"/>
  <c r="CG120" i="2"/>
  <c r="CG121" i="2"/>
  <c r="CG122" i="2"/>
  <c r="CG123" i="2"/>
  <c r="CG124" i="2"/>
  <c r="CG125" i="2"/>
  <c r="CG126" i="2"/>
  <c r="CG127" i="2"/>
  <c r="CG128" i="2"/>
  <c r="CG129" i="2"/>
  <c r="CG130" i="2"/>
  <c r="CG131" i="2"/>
  <c r="CG132" i="2"/>
  <c r="CG133" i="2"/>
  <c r="CG134" i="2"/>
  <c r="CG135" i="2"/>
  <c r="CG136" i="2"/>
  <c r="CG137" i="2"/>
  <c r="CG138" i="2"/>
  <c r="CG139" i="2"/>
  <c r="CG140" i="2"/>
  <c r="CG141" i="2"/>
  <c r="CG142" i="2"/>
  <c r="CG143" i="2"/>
  <c r="CG144" i="2"/>
  <c r="CG145" i="2"/>
  <c r="CG146" i="2"/>
  <c r="CG147" i="2"/>
  <c r="CG148" i="2"/>
  <c r="CG149" i="2"/>
  <c r="CG150" i="2"/>
  <c r="CG151" i="2"/>
  <c r="CG152" i="2"/>
  <c r="CG153" i="2"/>
  <c r="CG154" i="2"/>
  <c r="CG155" i="2"/>
  <c r="CG156" i="2"/>
  <c r="CG157" i="2"/>
  <c r="CG158" i="2"/>
  <c r="CG159" i="2"/>
  <c r="CG160" i="2"/>
  <c r="CG161" i="2"/>
  <c r="CG162" i="2"/>
  <c r="CG163" i="2"/>
  <c r="CG164" i="2"/>
  <c r="CG165" i="2"/>
  <c r="CG166" i="2"/>
  <c r="CG167" i="2"/>
  <c r="CG168" i="2"/>
  <c r="CG169" i="2"/>
  <c r="CG170" i="2"/>
  <c r="CG171" i="2"/>
  <c r="CG172" i="2"/>
  <c r="CG173" i="2"/>
  <c r="CG174" i="2"/>
  <c r="CG175" i="2"/>
  <c r="CG176" i="2"/>
  <c r="CG177" i="2"/>
  <c r="CG178" i="2"/>
  <c r="CG179" i="2"/>
  <c r="CG180" i="2"/>
  <c r="CG181" i="2"/>
  <c r="CG182" i="2"/>
  <c r="CG183" i="2"/>
  <c r="CG184" i="2"/>
  <c r="CG185" i="2"/>
  <c r="CG186" i="2"/>
  <c r="CG187" i="2"/>
  <c r="CG188" i="2"/>
  <c r="CG189" i="2"/>
  <c r="CG190" i="2"/>
  <c r="CG191" i="2"/>
  <c r="CG192" i="2"/>
  <c r="CG193" i="2"/>
  <c r="CG194" i="2"/>
  <c r="CG195" i="2"/>
  <c r="CG196" i="2"/>
  <c r="CG197" i="2"/>
  <c r="CG198" i="2"/>
  <c r="CG199" i="2"/>
  <c r="CG200" i="2"/>
  <c r="CG201" i="2"/>
  <c r="CG202" i="2"/>
  <c r="CG203" i="2"/>
  <c r="CG204" i="2"/>
  <c r="CG205" i="2"/>
  <c r="CG206" i="2"/>
  <c r="CG207" i="2"/>
  <c r="CG208" i="2"/>
  <c r="CG209" i="2"/>
  <c r="CG210" i="2"/>
  <c r="CG211" i="2"/>
  <c r="CG212" i="2"/>
  <c r="CG213" i="2"/>
  <c r="CG214" i="2"/>
  <c r="CG215" i="2"/>
  <c r="CG216" i="2"/>
  <c r="CG217" i="2"/>
  <c r="CG218" i="2"/>
  <c r="CG219" i="2"/>
  <c r="CG220" i="2"/>
  <c r="CG221" i="2"/>
  <c r="CG222" i="2"/>
  <c r="CG223" i="2"/>
  <c r="CG224" i="2"/>
  <c r="CG225" i="2"/>
  <c r="CG226" i="2"/>
  <c r="CG227" i="2"/>
  <c r="CG228" i="2"/>
  <c r="CG229" i="2"/>
  <c r="CG230" i="2"/>
  <c r="CG231" i="2"/>
  <c r="CG232" i="2"/>
  <c r="CG233" i="2"/>
  <c r="CG234" i="2"/>
  <c r="CG235" i="2"/>
  <c r="CG236" i="2"/>
  <c r="CG237" i="2"/>
  <c r="CG238" i="2"/>
  <c r="CG239" i="2"/>
  <c r="CG240" i="2"/>
  <c r="CG241" i="2"/>
  <c r="CG242" i="2"/>
  <c r="CG243" i="2"/>
  <c r="CG244" i="2"/>
  <c r="CG245" i="2"/>
  <c r="CG246" i="2"/>
  <c r="CG247" i="2"/>
  <c r="CG248" i="2"/>
  <c r="CG249" i="2"/>
  <c r="CF6" i="2"/>
  <c r="CF7" i="2"/>
  <c r="CF8" i="2"/>
  <c r="CF9" i="2"/>
  <c r="CF10" i="2"/>
  <c r="CF11" i="2"/>
  <c r="CF12" i="2"/>
  <c r="CF13" i="2"/>
  <c r="CF14" i="2"/>
  <c r="CF15" i="2"/>
  <c r="CF16" i="2"/>
  <c r="CF17" i="2"/>
  <c r="CF18" i="2"/>
  <c r="CF19" i="2"/>
  <c r="CF20" i="2"/>
  <c r="CF21" i="2"/>
  <c r="CF22" i="2"/>
  <c r="CF23" i="2"/>
  <c r="CF24" i="2"/>
  <c r="CF25" i="2"/>
  <c r="CF26" i="2"/>
  <c r="CF27" i="2"/>
  <c r="CF28" i="2"/>
  <c r="CF29" i="2"/>
  <c r="CF30" i="2"/>
  <c r="CF31" i="2"/>
  <c r="CF32" i="2"/>
  <c r="CF33" i="2"/>
  <c r="CF34" i="2"/>
  <c r="CF35" i="2"/>
  <c r="CF36" i="2"/>
  <c r="CF37" i="2"/>
  <c r="CF38" i="2"/>
  <c r="CF39" i="2"/>
  <c r="CF40" i="2"/>
  <c r="CF41" i="2"/>
  <c r="CF42" i="2"/>
  <c r="CF43" i="2"/>
  <c r="CF44" i="2"/>
  <c r="CF45" i="2"/>
  <c r="CF46" i="2"/>
  <c r="CF47" i="2"/>
  <c r="CF48" i="2"/>
  <c r="CF49" i="2"/>
  <c r="CF50" i="2"/>
  <c r="CF51" i="2"/>
  <c r="CF52" i="2"/>
  <c r="CF53" i="2"/>
  <c r="CF54" i="2"/>
  <c r="CF55" i="2"/>
  <c r="CF56" i="2"/>
  <c r="CF57" i="2"/>
  <c r="CF58" i="2"/>
  <c r="CF59" i="2"/>
  <c r="CF60" i="2"/>
  <c r="CF61" i="2"/>
  <c r="CF62" i="2"/>
  <c r="CF63" i="2"/>
  <c r="CF64" i="2"/>
  <c r="CF65" i="2"/>
  <c r="CF66" i="2"/>
  <c r="CF67" i="2"/>
  <c r="CF68" i="2"/>
  <c r="CF69" i="2"/>
  <c r="CF70" i="2"/>
  <c r="CF71" i="2"/>
  <c r="CF72" i="2"/>
  <c r="CF73" i="2"/>
  <c r="CF74" i="2"/>
  <c r="CF75" i="2"/>
  <c r="CF76" i="2"/>
  <c r="CF77" i="2"/>
  <c r="CF78" i="2"/>
  <c r="CF79" i="2"/>
  <c r="CF80" i="2"/>
  <c r="CF81" i="2"/>
  <c r="CF82" i="2"/>
  <c r="CF83" i="2"/>
  <c r="CF84" i="2"/>
  <c r="CF85" i="2"/>
  <c r="CF86" i="2"/>
  <c r="CF87" i="2"/>
  <c r="CF88" i="2"/>
  <c r="CF89" i="2"/>
  <c r="CF90" i="2"/>
  <c r="CF91" i="2"/>
  <c r="CF92" i="2"/>
  <c r="CF93" i="2"/>
  <c r="CF94" i="2"/>
  <c r="CF95" i="2"/>
  <c r="CF96" i="2"/>
  <c r="CF97" i="2"/>
  <c r="CF98" i="2"/>
  <c r="CF99" i="2"/>
  <c r="CF100" i="2"/>
  <c r="CF101" i="2"/>
  <c r="CF102" i="2"/>
  <c r="CF103" i="2"/>
  <c r="CF104" i="2"/>
  <c r="CF105" i="2"/>
  <c r="CF106" i="2"/>
  <c r="CF107" i="2"/>
  <c r="CF108" i="2"/>
  <c r="CF109" i="2"/>
  <c r="CF110" i="2"/>
  <c r="CF111" i="2"/>
  <c r="CF112" i="2"/>
  <c r="CF113" i="2"/>
  <c r="CF114" i="2"/>
  <c r="CF115" i="2"/>
  <c r="CF116" i="2"/>
  <c r="CF117" i="2"/>
  <c r="CF118" i="2"/>
  <c r="CF119" i="2"/>
  <c r="CF120" i="2"/>
  <c r="CF121" i="2"/>
  <c r="CF122" i="2"/>
  <c r="CF123" i="2"/>
  <c r="CF124" i="2"/>
  <c r="CF125" i="2"/>
  <c r="CF126" i="2"/>
  <c r="CF127" i="2"/>
  <c r="CF128" i="2"/>
  <c r="CF129" i="2"/>
  <c r="CF130" i="2"/>
  <c r="CF131" i="2"/>
  <c r="CF132" i="2"/>
  <c r="CF133" i="2"/>
  <c r="CF134" i="2"/>
  <c r="CF135" i="2"/>
  <c r="CF136" i="2"/>
  <c r="CF137" i="2"/>
  <c r="CF138" i="2"/>
  <c r="CF139" i="2"/>
  <c r="CF140" i="2"/>
  <c r="CF141" i="2"/>
  <c r="CF142" i="2"/>
  <c r="CF143" i="2"/>
  <c r="CF144" i="2"/>
  <c r="CF145" i="2"/>
  <c r="CF146" i="2"/>
  <c r="CF147" i="2"/>
  <c r="CF148" i="2"/>
  <c r="CF149" i="2"/>
  <c r="CF150" i="2"/>
  <c r="CF151" i="2"/>
  <c r="CF152" i="2"/>
  <c r="CF153" i="2"/>
  <c r="CF154" i="2"/>
  <c r="CF155" i="2"/>
  <c r="CF156" i="2"/>
  <c r="CF157" i="2"/>
  <c r="CF158" i="2"/>
  <c r="CF159" i="2"/>
  <c r="CF160" i="2"/>
  <c r="CF161" i="2"/>
  <c r="CF162" i="2"/>
  <c r="CF163" i="2"/>
  <c r="CF164" i="2"/>
  <c r="CF165" i="2"/>
  <c r="CF166" i="2"/>
  <c r="CF167" i="2"/>
  <c r="CF168" i="2"/>
  <c r="CF169" i="2"/>
  <c r="CF170" i="2"/>
  <c r="CF171" i="2"/>
  <c r="CF172" i="2"/>
  <c r="CF173" i="2"/>
  <c r="CF174" i="2"/>
  <c r="CF175" i="2"/>
  <c r="CF176" i="2"/>
  <c r="CF177" i="2"/>
  <c r="CF178" i="2"/>
  <c r="CF179" i="2"/>
  <c r="CF180" i="2"/>
  <c r="CF181" i="2"/>
  <c r="CF182" i="2"/>
  <c r="CF183" i="2"/>
  <c r="CF184" i="2"/>
  <c r="CF185" i="2"/>
  <c r="CF186" i="2"/>
  <c r="CF187" i="2"/>
  <c r="CF188" i="2"/>
  <c r="CF189" i="2"/>
  <c r="CF190" i="2"/>
  <c r="CF191" i="2"/>
  <c r="CF192" i="2"/>
  <c r="CF193" i="2"/>
  <c r="CF194" i="2"/>
  <c r="CF195" i="2"/>
  <c r="CF196" i="2"/>
  <c r="CF197" i="2"/>
  <c r="CF198" i="2"/>
  <c r="CF199" i="2"/>
  <c r="CF200" i="2"/>
  <c r="CF201" i="2"/>
  <c r="CF202" i="2"/>
  <c r="CF203" i="2"/>
  <c r="CF204" i="2"/>
  <c r="CF205" i="2"/>
  <c r="CF206" i="2"/>
  <c r="CF207" i="2"/>
  <c r="CF208" i="2"/>
  <c r="CF209" i="2"/>
  <c r="CF210" i="2"/>
  <c r="CF211" i="2"/>
  <c r="CF212" i="2"/>
  <c r="CF213" i="2"/>
  <c r="CF214" i="2"/>
  <c r="CF215" i="2"/>
  <c r="CF216" i="2"/>
  <c r="CF217" i="2"/>
  <c r="CF218" i="2"/>
  <c r="CF219" i="2"/>
  <c r="CF220" i="2"/>
  <c r="CF221" i="2"/>
  <c r="CF222" i="2"/>
  <c r="CF223" i="2"/>
  <c r="CF224" i="2"/>
  <c r="CF225" i="2"/>
  <c r="CF226" i="2"/>
  <c r="CF227" i="2"/>
  <c r="CF228" i="2"/>
  <c r="CF229" i="2"/>
  <c r="CF230" i="2"/>
  <c r="CF231" i="2"/>
  <c r="CF232" i="2"/>
  <c r="CF233" i="2"/>
  <c r="CF234" i="2"/>
  <c r="CF235" i="2"/>
  <c r="CF236" i="2"/>
  <c r="CF237" i="2"/>
  <c r="CF238" i="2"/>
  <c r="CF239" i="2"/>
  <c r="CF240" i="2"/>
  <c r="CF241" i="2"/>
  <c r="CF242" i="2"/>
  <c r="CF243" i="2"/>
  <c r="CF244" i="2"/>
  <c r="CF245" i="2"/>
  <c r="CF246" i="2"/>
  <c r="CF247" i="2"/>
  <c r="CF248" i="2"/>
  <c r="CF249"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E69" i="2"/>
  <c r="CE70" i="2"/>
  <c r="CE71" i="2"/>
  <c r="CE72" i="2"/>
  <c r="CE73" i="2"/>
  <c r="CE74" i="2"/>
  <c r="CE75" i="2"/>
  <c r="CE76" i="2"/>
  <c r="CE77" i="2"/>
  <c r="CE78" i="2"/>
  <c r="CE79" i="2"/>
  <c r="CE80" i="2"/>
  <c r="CE81" i="2"/>
  <c r="CE82" i="2"/>
  <c r="CE83" i="2"/>
  <c r="CE84" i="2"/>
  <c r="CE85" i="2"/>
  <c r="CE86" i="2"/>
  <c r="CE87" i="2"/>
  <c r="CE88" i="2"/>
  <c r="CE89" i="2"/>
  <c r="CE90" i="2"/>
  <c r="CE91" i="2"/>
  <c r="CE92" i="2"/>
  <c r="CE93" i="2"/>
  <c r="CE94" i="2"/>
  <c r="CE95" i="2"/>
  <c r="CE96" i="2"/>
  <c r="CE97" i="2"/>
  <c r="CE98" i="2"/>
  <c r="CE99" i="2"/>
  <c r="CE100" i="2"/>
  <c r="CE101" i="2"/>
  <c r="CE102" i="2"/>
  <c r="CE103" i="2"/>
  <c r="CE104" i="2"/>
  <c r="CE105" i="2"/>
  <c r="CE106" i="2"/>
  <c r="CE107" i="2"/>
  <c r="CE108" i="2"/>
  <c r="CE109" i="2"/>
  <c r="CE110" i="2"/>
  <c r="CE111" i="2"/>
  <c r="CE112" i="2"/>
  <c r="CE113" i="2"/>
  <c r="CE114" i="2"/>
  <c r="CE115" i="2"/>
  <c r="CE116" i="2"/>
  <c r="CE117" i="2"/>
  <c r="CE118" i="2"/>
  <c r="CE119" i="2"/>
  <c r="CE120" i="2"/>
  <c r="CE121" i="2"/>
  <c r="CE122" i="2"/>
  <c r="CE123" i="2"/>
  <c r="CE124" i="2"/>
  <c r="CE125" i="2"/>
  <c r="CE126" i="2"/>
  <c r="CE127" i="2"/>
  <c r="CE128" i="2"/>
  <c r="CE129" i="2"/>
  <c r="CE130" i="2"/>
  <c r="CE131" i="2"/>
  <c r="CE132" i="2"/>
  <c r="CE133" i="2"/>
  <c r="CE134" i="2"/>
  <c r="CE135" i="2"/>
  <c r="CE136" i="2"/>
  <c r="CE137" i="2"/>
  <c r="CE138" i="2"/>
  <c r="CE139" i="2"/>
  <c r="CE140" i="2"/>
  <c r="CE141" i="2"/>
  <c r="CE142" i="2"/>
  <c r="CE143" i="2"/>
  <c r="CE144" i="2"/>
  <c r="CE145" i="2"/>
  <c r="CE146" i="2"/>
  <c r="CE147" i="2"/>
  <c r="CE148" i="2"/>
  <c r="CE149" i="2"/>
  <c r="CE150" i="2"/>
  <c r="CE151" i="2"/>
  <c r="CE152" i="2"/>
  <c r="CE153" i="2"/>
  <c r="CE154" i="2"/>
  <c r="CE155" i="2"/>
  <c r="CE156" i="2"/>
  <c r="CE157" i="2"/>
  <c r="CE158" i="2"/>
  <c r="CE159" i="2"/>
  <c r="CE160" i="2"/>
  <c r="CE161" i="2"/>
  <c r="CE162" i="2"/>
  <c r="CE163" i="2"/>
  <c r="CE164" i="2"/>
  <c r="CE165" i="2"/>
  <c r="CE166" i="2"/>
  <c r="CE167" i="2"/>
  <c r="CE168" i="2"/>
  <c r="CE169" i="2"/>
  <c r="CE170" i="2"/>
  <c r="CE171" i="2"/>
  <c r="CE172" i="2"/>
  <c r="CE173" i="2"/>
  <c r="CE174" i="2"/>
  <c r="CE175" i="2"/>
  <c r="CE176" i="2"/>
  <c r="CE177" i="2"/>
  <c r="CE178" i="2"/>
  <c r="CE179" i="2"/>
  <c r="CE180" i="2"/>
  <c r="CE181" i="2"/>
  <c r="CE182" i="2"/>
  <c r="CE183" i="2"/>
  <c r="CE184" i="2"/>
  <c r="CE185" i="2"/>
  <c r="CE186" i="2"/>
  <c r="CE187" i="2"/>
  <c r="CE188" i="2"/>
  <c r="CE189" i="2"/>
  <c r="CE190" i="2"/>
  <c r="CE191" i="2"/>
  <c r="CE192" i="2"/>
  <c r="CE193" i="2"/>
  <c r="CE194" i="2"/>
  <c r="CE195" i="2"/>
  <c r="CE196" i="2"/>
  <c r="CE197" i="2"/>
  <c r="CE198" i="2"/>
  <c r="CE199" i="2"/>
  <c r="CE200" i="2"/>
  <c r="CE201" i="2"/>
  <c r="CE202" i="2"/>
  <c r="CE203" i="2"/>
  <c r="CE204" i="2"/>
  <c r="CE205" i="2"/>
  <c r="CE206" i="2"/>
  <c r="CE207" i="2"/>
  <c r="CE208" i="2"/>
  <c r="CE209" i="2"/>
  <c r="CE210" i="2"/>
  <c r="CE211" i="2"/>
  <c r="CE212" i="2"/>
  <c r="CE213" i="2"/>
  <c r="CE214" i="2"/>
  <c r="CE215" i="2"/>
  <c r="CE216" i="2"/>
  <c r="CE217" i="2"/>
  <c r="CE218" i="2"/>
  <c r="CE219" i="2"/>
  <c r="CE220" i="2"/>
  <c r="CE221" i="2"/>
  <c r="CE222" i="2"/>
  <c r="CE223" i="2"/>
  <c r="CE224" i="2"/>
  <c r="CE225" i="2"/>
  <c r="CE226" i="2"/>
  <c r="CE227" i="2"/>
  <c r="CE228" i="2"/>
  <c r="CE229" i="2"/>
  <c r="CE230" i="2"/>
  <c r="CE231" i="2"/>
  <c r="CE232" i="2"/>
  <c r="CE233" i="2"/>
  <c r="CE234" i="2"/>
  <c r="CE235" i="2"/>
  <c r="CE236" i="2"/>
  <c r="CE237" i="2"/>
  <c r="CE238" i="2"/>
  <c r="CE239" i="2"/>
  <c r="CE240" i="2"/>
  <c r="CE241" i="2"/>
  <c r="CE242" i="2"/>
  <c r="CE243" i="2"/>
  <c r="CE244" i="2"/>
  <c r="CE245" i="2"/>
  <c r="CE246" i="2"/>
  <c r="CE247" i="2"/>
  <c r="CE248" i="2"/>
  <c r="CE249" i="2"/>
  <c r="CD6" i="2"/>
  <c r="CD7" i="2"/>
  <c r="CD8" i="2"/>
  <c r="CD9" i="2"/>
  <c r="CD10" i="2"/>
  <c r="CD11" i="2"/>
  <c r="CN11" i="2" s="1"/>
  <c r="CD12" i="2"/>
  <c r="CN12" i="2" s="1"/>
  <c r="CD13" i="2"/>
  <c r="CD14" i="2"/>
  <c r="CN14" i="2" s="1"/>
  <c r="CD15" i="2"/>
  <c r="CD16" i="2"/>
  <c r="CD17" i="2"/>
  <c r="CN17" i="2" s="1"/>
  <c r="CD18" i="2"/>
  <c r="CN18" i="2" s="1"/>
  <c r="CD19" i="2"/>
  <c r="CD20" i="2"/>
  <c r="CD21" i="2"/>
  <c r="CD22" i="2"/>
  <c r="CD23" i="2"/>
  <c r="CD24" i="2"/>
  <c r="CD25" i="2"/>
  <c r="CD26" i="2"/>
  <c r="CN26" i="2" s="1"/>
  <c r="CD27" i="2"/>
  <c r="CD28" i="2"/>
  <c r="CD29" i="2"/>
  <c r="CD30" i="2"/>
  <c r="CD31" i="2"/>
  <c r="CD32" i="2"/>
  <c r="CN32" i="2" s="1"/>
  <c r="CD33" i="2"/>
  <c r="CD34" i="2"/>
  <c r="CD35" i="2"/>
  <c r="CD36" i="2"/>
  <c r="CD37" i="2"/>
  <c r="CN37" i="2" s="1"/>
  <c r="CD38" i="2"/>
  <c r="CD39" i="2"/>
  <c r="CN39" i="2" s="1"/>
  <c r="CD40" i="2"/>
  <c r="CN40" i="2" s="1"/>
  <c r="CD41" i="2"/>
  <c r="CN41" i="2" s="1"/>
  <c r="CD42" i="2"/>
  <c r="CD43" i="2"/>
  <c r="CD44" i="2"/>
  <c r="CN44" i="2" s="1"/>
  <c r="CD45" i="2"/>
  <c r="CD46" i="2"/>
  <c r="CD47" i="2"/>
  <c r="CD48" i="2"/>
  <c r="CN48" i="2" s="1"/>
  <c r="CD49" i="2"/>
  <c r="CD50" i="2"/>
  <c r="CN50" i="2" s="1"/>
  <c r="CD51" i="2"/>
  <c r="CD52" i="2"/>
  <c r="CD53" i="2"/>
  <c r="CD54" i="2"/>
  <c r="CD55" i="2"/>
  <c r="CD56" i="2"/>
  <c r="CD57" i="2"/>
  <c r="CD58" i="2"/>
  <c r="CD59" i="2"/>
  <c r="CD60" i="2"/>
  <c r="CD61" i="2"/>
  <c r="CD62" i="2"/>
  <c r="CD63" i="2"/>
  <c r="CD64" i="2"/>
  <c r="CN64" i="2" s="1"/>
  <c r="CD65" i="2"/>
  <c r="CN65" i="2" s="1"/>
  <c r="CD66" i="2"/>
  <c r="CD67" i="2"/>
  <c r="CN67" i="2" s="1"/>
  <c r="CD68" i="2"/>
  <c r="CD69" i="2"/>
  <c r="CD70" i="2"/>
  <c r="CD71" i="2"/>
  <c r="CD72" i="2"/>
  <c r="CN72" i="2" s="1"/>
  <c r="CD73" i="2"/>
  <c r="CD74" i="2"/>
  <c r="CD75" i="2"/>
  <c r="CD76" i="2"/>
  <c r="CN76" i="2" s="1"/>
  <c r="CD77" i="2"/>
  <c r="CD78" i="2"/>
  <c r="CD79" i="2"/>
  <c r="CN79" i="2" s="1"/>
  <c r="CD80" i="2"/>
  <c r="CN80" i="2" s="1"/>
  <c r="CD81" i="2"/>
  <c r="CD82" i="2"/>
  <c r="CD83" i="2"/>
  <c r="CN83" i="2" s="1"/>
  <c r="CD84" i="2"/>
  <c r="CN84" i="2" s="1"/>
  <c r="CD85" i="2"/>
  <c r="CN85" i="2" s="1"/>
  <c r="CD86" i="2"/>
  <c r="CD87" i="2"/>
  <c r="CD88" i="2"/>
  <c r="CN88" i="2" s="1"/>
  <c r="CD89" i="2"/>
  <c r="CN89" i="2" s="1"/>
  <c r="CD90" i="2"/>
  <c r="CD91" i="2"/>
  <c r="CN91" i="2" s="1"/>
  <c r="CD92" i="2"/>
  <c r="CD93" i="2"/>
  <c r="CD94" i="2"/>
  <c r="CD95" i="2"/>
  <c r="CD96" i="2"/>
  <c r="CD97" i="2"/>
  <c r="CD98" i="2"/>
  <c r="CD99" i="2"/>
  <c r="CD100" i="2"/>
  <c r="CD101" i="2"/>
  <c r="CN101" i="2" s="1"/>
  <c r="CD102" i="2"/>
  <c r="CD103" i="2"/>
  <c r="CD104" i="2"/>
  <c r="CD105" i="2"/>
  <c r="CD106" i="2"/>
  <c r="CD107" i="2"/>
  <c r="CD108" i="2"/>
  <c r="CN108" i="2" s="1"/>
  <c r="CD109" i="2"/>
  <c r="CD110" i="2"/>
  <c r="CD111" i="2"/>
  <c r="CD112" i="2"/>
  <c r="CN112" i="2" s="1"/>
  <c r="CD113" i="2"/>
  <c r="CD114" i="2"/>
  <c r="CD115" i="2"/>
  <c r="CN115" i="2" s="1"/>
  <c r="CD116" i="2"/>
  <c r="CN116" i="2" s="1"/>
  <c r="CD117" i="2"/>
  <c r="CD118" i="2"/>
  <c r="CD119" i="2"/>
  <c r="CD120" i="2"/>
  <c r="CD121" i="2"/>
  <c r="CN121" i="2" s="1"/>
  <c r="CD122" i="2"/>
  <c r="CD123" i="2"/>
  <c r="CN123" i="2" s="1"/>
  <c r="CD124" i="2"/>
  <c r="CN124" i="2" s="1"/>
  <c r="CD125" i="2"/>
  <c r="CD126" i="2"/>
  <c r="CD127" i="2"/>
  <c r="CN127" i="2" s="1"/>
  <c r="CD128" i="2"/>
  <c r="CN128" i="2" s="1"/>
  <c r="CD129" i="2"/>
  <c r="CN129" i="2" s="1"/>
  <c r="CD130" i="2"/>
  <c r="CN130" i="2" s="1"/>
  <c r="CD131" i="2"/>
  <c r="CD132" i="2"/>
  <c r="CN132" i="2" s="1"/>
  <c r="CD133" i="2"/>
  <c r="CN133" i="2" s="1"/>
  <c r="CD134" i="2"/>
  <c r="CD135" i="2"/>
  <c r="CN135" i="2" s="1"/>
  <c r="CD136" i="2"/>
  <c r="CN136" i="2" s="1"/>
  <c r="CD137" i="2"/>
  <c r="CD138" i="2"/>
  <c r="CN138" i="2" s="1"/>
  <c r="CD139" i="2"/>
  <c r="CD140" i="2"/>
  <c r="CN140" i="2" s="1"/>
  <c r="CD141" i="2"/>
  <c r="CN141" i="2" s="1"/>
  <c r="CD142" i="2"/>
  <c r="CD143" i="2"/>
  <c r="CN143" i="2" s="1"/>
  <c r="CD144" i="2"/>
  <c r="CN144" i="2" s="1"/>
  <c r="CD145" i="2"/>
  <c r="CD146" i="2"/>
  <c r="CD147" i="2"/>
  <c r="CN147" i="2" s="1"/>
  <c r="CD148" i="2"/>
  <c r="CN148" i="2" s="1"/>
  <c r="CD149" i="2"/>
  <c r="CN149" i="2" s="1"/>
  <c r="CD150" i="2"/>
  <c r="CD151" i="2"/>
  <c r="CN151" i="2" s="1"/>
  <c r="CD152" i="2"/>
  <c r="CN152" i="2" s="1"/>
  <c r="CD153" i="2"/>
  <c r="CN153" i="2" s="1"/>
  <c r="CD154" i="2"/>
  <c r="CD155" i="2"/>
  <c r="CN155" i="2" s="1"/>
  <c r="CD156" i="2"/>
  <c r="CN156" i="2" s="1"/>
  <c r="CD157" i="2"/>
  <c r="CN157" i="2" s="1"/>
  <c r="CD158" i="2"/>
  <c r="CD159" i="2"/>
  <c r="CN159" i="2" s="1"/>
  <c r="CD160" i="2"/>
  <c r="CN160" i="2" s="1"/>
  <c r="CD161" i="2"/>
  <c r="CN161" i="2" s="1"/>
  <c r="CD162" i="2"/>
  <c r="CD163" i="2"/>
  <c r="CN163" i="2" s="1"/>
  <c r="CD164" i="2"/>
  <c r="CD165" i="2"/>
  <c r="CN165" i="2" s="1"/>
  <c r="CD166" i="2"/>
  <c r="CD167" i="2"/>
  <c r="CN167" i="2" s="1"/>
  <c r="CD168" i="2"/>
  <c r="CN168" i="2" s="1"/>
  <c r="CD169" i="2"/>
  <c r="CD170" i="2"/>
  <c r="CD171" i="2"/>
  <c r="CD172" i="2"/>
  <c r="CD173" i="2"/>
  <c r="CD174" i="2"/>
  <c r="CD175" i="2"/>
  <c r="CN175" i="2" s="1"/>
  <c r="CD176" i="2"/>
  <c r="CN176" i="2" s="1"/>
  <c r="CD177" i="2"/>
  <c r="CD178" i="2"/>
  <c r="CD179" i="2"/>
  <c r="CN179" i="2" s="1"/>
  <c r="CD180" i="2"/>
  <c r="CD181" i="2"/>
  <c r="CD182" i="2"/>
  <c r="CN182" i="2" s="1"/>
  <c r="CD183" i="2"/>
  <c r="CN183" i="2" s="1"/>
  <c r="CD184" i="2"/>
  <c r="CN184" i="2" s="1"/>
  <c r="CD185" i="2"/>
  <c r="CN185" i="2" s="1"/>
  <c r="CD186" i="2"/>
  <c r="CD187" i="2"/>
  <c r="CD188" i="2"/>
  <c r="CN188" i="2" s="1"/>
  <c r="CD189" i="2"/>
  <c r="CN189" i="2" s="1"/>
  <c r="CD190" i="2"/>
  <c r="CD191" i="2"/>
  <c r="CD192" i="2"/>
  <c r="CD193" i="2"/>
  <c r="CN193" i="2" s="1"/>
  <c r="CD194" i="2"/>
  <c r="CD195" i="2"/>
  <c r="CD196" i="2"/>
  <c r="CN196" i="2" s="1"/>
  <c r="CD197" i="2"/>
  <c r="CD198" i="2"/>
  <c r="CN198" i="2" s="1"/>
  <c r="CD199" i="2"/>
  <c r="CD200" i="2"/>
  <c r="CN200" i="2" s="1"/>
  <c r="CD201" i="2"/>
  <c r="CN201" i="2" s="1"/>
  <c r="CD202" i="2"/>
  <c r="CD203" i="2"/>
  <c r="CD204" i="2"/>
  <c r="CD205" i="2"/>
  <c r="CN205" i="2" s="1"/>
  <c r="CD206" i="2"/>
  <c r="CD207" i="2"/>
  <c r="CD208" i="2"/>
  <c r="CN208" i="2" s="1"/>
  <c r="CD209" i="2"/>
  <c r="CD210" i="2"/>
  <c r="CD211" i="2"/>
  <c r="CN211" i="2" s="1"/>
  <c r="CD212" i="2"/>
  <c r="CN212" i="2" s="1"/>
  <c r="CD213" i="2"/>
  <c r="CD214" i="2"/>
  <c r="CD215" i="2"/>
  <c r="CN215" i="2" s="1"/>
  <c r="CD216" i="2"/>
  <c r="CN216" i="2" s="1"/>
  <c r="CD217" i="2"/>
  <c r="CD218" i="2"/>
  <c r="CN218" i="2" s="1"/>
  <c r="CD219" i="2"/>
  <c r="CN219" i="2" s="1"/>
  <c r="CD220" i="2"/>
  <c r="CN220" i="2" s="1"/>
  <c r="CD221" i="2"/>
  <c r="CD222" i="2"/>
  <c r="CD223" i="2"/>
  <c r="CN223" i="2" s="1"/>
  <c r="CD224" i="2"/>
  <c r="CN224" i="2" s="1"/>
  <c r="CD225" i="2"/>
  <c r="CD226" i="2"/>
  <c r="CD227" i="2"/>
  <c r="CN227" i="2" s="1"/>
  <c r="CD228" i="2"/>
  <c r="CN228" i="2" s="1"/>
  <c r="CD229" i="2"/>
  <c r="CD230" i="2"/>
  <c r="CD231" i="2"/>
  <c r="CD232" i="2"/>
  <c r="CN232" i="2" s="1"/>
  <c r="CD233" i="2"/>
  <c r="CD234" i="2"/>
  <c r="CD235" i="2"/>
  <c r="CN235" i="2" s="1"/>
  <c r="CD236" i="2"/>
  <c r="CN236" i="2" s="1"/>
  <c r="CD237" i="2"/>
  <c r="CD238" i="2"/>
  <c r="CN238" i="2" s="1"/>
  <c r="CD239" i="2"/>
  <c r="CN239" i="2" s="1"/>
  <c r="CD240" i="2"/>
  <c r="CN240" i="2" s="1"/>
  <c r="CD241" i="2"/>
  <c r="CD242" i="2"/>
  <c r="CN242" i="2" s="1"/>
  <c r="CD243" i="2"/>
  <c r="CD244" i="2"/>
  <c r="CN244" i="2" s="1"/>
  <c r="CD245" i="2"/>
  <c r="CD246" i="2"/>
  <c r="CD247" i="2"/>
  <c r="CD248" i="2"/>
  <c r="CD249" i="2"/>
  <c r="CM5" i="2"/>
  <c r="CL5" i="2"/>
  <c r="CK5" i="2"/>
  <c r="CJ5" i="2"/>
  <c r="CI5" i="2"/>
  <c r="CH5" i="2"/>
  <c r="CG5" i="2"/>
  <c r="CF5" i="2"/>
  <c r="CE5" i="2"/>
  <c r="CD5" i="2"/>
  <c r="K190" i="2"/>
  <c r="K54" i="2"/>
  <c r="K109" i="2"/>
  <c r="K162" i="2"/>
  <c r="BI68" i="2"/>
  <c r="CN178" i="2" l="1"/>
  <c r="CN61" i="2"/>
  <c r="CN214" i="2"/>
  <c r="CN194" i="2"/>
  <c r="CN190" i="2"/>
  <c r="CN234" i="2"/>
  <c r="CN62" i="2"/>
  <c r="CN134" i="2"/>
  <c r="CN34" i="2"/>
  <c r="CN38" i="2"/>
  <c r="CN117" i="2"/>
  <c r="CN66" i="2"/>
  <c r="CN210" i="2"/>
  <c r="CN206" i="2"/>
  <c r="CN70" i="2"/>
  <c r="CN222" i="2"/>
  <c r="CN233" i="2"/>
  <c r="CN229" i="2"/>
  <c r="CN245" i="2"/>
  <c r="CN154" i="2"/>
  <c r="CN90" i="2"/>
  <c r="CN86" i="2"/>
  <c r="CN125" i="2"/>
  <c r="CN36" i="2"/>
  <c r="CN120" i="2"/>
  <c r="CN6" i="2"/>
  <c r="CN186" i="2"/>
  <c r="CN97" i="2"/>
  <c r="CN118" i="2"/>
  <c r="CN122" i="2"/>
  <c r="CN74" i="2"/>
  <c r="CN13" i="2"/>
  <c r="CN164" i="2"/>
  <c r="CN22" i="2"/>
  <c r="CN126" i="2"/>
  <c r="CN145" i="2"/>
  <c r="CN93" i="2"/>
  <c r="CN106" i="2"/>
  <c r="CN105" i="2"/>
  <c r="CN204" i="2"/>
  <c r="CN142" i="2"/>
  <c r="CN249" i="2"/>
  <c r="CN197" i="2"/>
  <c r="CN162" i="2"/>
  <c r="CN110" i="2"/>
  <c r="CN114" i="2"/>
  <c r="CN98" i="2"/>
  <c r="CN54" i="2"/>
  <c r="CN57" i="2"/>
  <c r="CN58" i="2"/>
  <c r="CN82" i="2"/>
  <c r="CN158" i="2"/>
  <c r="CN166" i="2"/>
  <c r="CN42" i="2"/>
  <c r="CN217" i="2"/>
  <c r="CN213" i="2"/>
  <c r="CN68" i="2"/>
  <c r="CN230" i="2"/>
  <c r="CN63" i="2"/>
  <c r="CN195" i="2"/>
  <c r="CN102" i="2"/>
  <c r="CN191" i="2"/>
  <c r="CN131" i="2"/>
  <c r="CN243" i="2"/>
  <c r="CN78" i="2"/>
  <c r="CN19" i="2"/>
  <c r="CN15" i="2"/>
  <c r="CN31" i="2"/>
  <c r="CN35" i="2"/>
  <c r="CN59" i="2"/>
  <c r="CN30" i="2"/>
  <c r="CN55" i="2"/>
  <c r="CN171" i="2"/>
  <c r="CN146" i="2"/>
  <c r="CN111" i="2"/>
  <c r="CN87" i="2"/>
  <c r="CN46" i="2"/>
  <c r="CN51" i="2"/>
  <c r="CN47" i="2"/>
  <c r="CN43" i="2"/>
  <c r="CN170" i="2"/>
  <c r="CN81" i="2"/>
  <c r="CN187" i="2"/>
  <c r="CN75" i="2"/>
  <c r="CN23" i="2"/>
  <c r="CN94" i="2"/>
  <c r="CN27" i="2"/>
  <c r="CN139" i="2"/>
  <c r="CN209" i="2"/>
  <c r="CN207" i="2"/>
  <c r="CN10" i="2"/>
  <c r="CN247" i="2"/>
  <c r="CN202" i="2"/>
  <c r="CN150" i="2"/>
  <c r="CN7" i="2"/>
  <c r="CN95" i="2"/>
  <c r="CN107" i="2"/>
  <c r="CN199" i="2"/>
  <c r="CN203" i="2"/>
  <c r="CN174" i="2"/>
  <c r="CN119" i="2"/>
  <c r="CN103" i="2"/>
  <c r="CN246" i="2"/>
  <c r="CN226" i="2"/>
  <c r="CN248" i="2"/>
  <c r="CN60" i="2"/>
  <c r="CN56" i="2"/>
  <c r="CN231" i="2"/>
  <c r="CN96" i="2"/>
  <c r="CN53" i="2"/>
  <c r="CN69" i="2"/>
  <c r="CN5" i="2"/>
  <c r="CN28" i="2"/>
  <c r="CN177" i="2"/>
  <c r="CN52" i="2"/>
  <c r="CN181" i="2"/>
  <c r="CN73" i="2"/>
  <c r="CN77" i="2"/>
  <c r="CN24" i="2"/>
  <c r="CN20" i="2"/>
  <c r="CN16" i="2"/>
  <c r="CN237" i="2"/>
  <c r="CN241" i="2"/>
  <c r="CN9" i="2"/>
  <c r="CN25" i="2"/>
  <c r="CN172" i="2"/>
  <c r="CN21" i="2"/>
  <c r="CN71" i="2"/>
  <c r="CN221" i="2"/>
  <c r="CN225" i="2"/>
  <c r="CN104" i="2"/>
  <c r="CN92" i="2"/>
  <c r="CN137" i="2"/>
  <c r="CN99" i="2"/>
  <c r="CN173" i="2"/>
  <c r="CN192" i="2"/>
  <c r="CN169" i="2"/>
  <c r="CN29" i="2"/>
  <c r="CN180" i="2"/>
  <c r="CN113" i="2"/>
  <c r="CN109" i="2"/>
  <c r="CN8" i="2"/>
  <c r="CN100" i="2"/>
  <c r="CN49" i="2"/>
  <c r="CN45" i="2"/>
  <c r="CN33" i="2"/>
  <c r="CN250" i="2" l="1"/>
  <c r="CN3" i="2" s="1"/>
  <c r="S88" i="2"/>
  <c r="S89" i="2"/>
  <c r="S120" i="2"/>
  <c r="S97" i="2"/>
  <c r="S195" i="2"/>
  <c r="S149" i="2"/>
  <c r="S150" i="2"/>
  <c r="S125" i="2"/>
  <c r="S163" i="2"/>
  <c r="S190" i="2"/>
  <c r="S54" i="2"/>
  <c r="S109" i="2"/>
  <c r="S162" i="2"/>
  <c r="S178" i="2"/>
  <c r="S103" i="2"/>
  <c r="S20" i="2"/>
  <c r="S104" i="2"/>
  <c r="S248" i="2"/>
  <c r="S249" i="2"/>
  <c r="Y88" i="2"/>
  <c r="Y89" i="2"/>
  <c r="Y120" i="2"/>
  <c r="Y28" i="2"/>
  <c r="Y97" i="2"/>
  <c r="Y195" i="2"/>
  <c r="Y149" i="2"/>
  <c r="Y150" i="2"/>
  <c r="Y125" i="2"/>
  <c r="Y163" i="2"/>
  <c r="Y190" i="2"/>
  <c r="Y54" i="2"/>
  <c r="Y109" i="2"/>
  <c r="Y162" i="2"/>
  <c r="Y178" i="2"/>
  <c r="Y103" i="2"/>
  <c r="Y20" i="2"/>
  <c r="Y104" i="2"/>
  <c r="Y248" i="2"/>
  <c r="Y249" i="2"/>
  <c r="BU88" i="2"/>
  <c r="BU89" i="2"/>
  <c r="BU120" i="2"/>
  <c r="BU28" i="2"/>
  <c r="BU97" i="2"/>
  <c r="BU195" i="2"/>
  <c r="BU149" i="2"/>
  <c r="BU150" i="2"/>
  <c r="BU125" i="2"/>
  <c r="BU163" i="2"/>
  <c r="BU190" i="2"/>
  <c r="BU54" i="2"/>
  <c r="BU109" i="2"/>
  <c r="BU162" i="2"/>
  <c r="BU178" i="2"/>
  <c r="BU103" i="2"/>
  <c r="BU20" i="2"/>
  <c r="BU104" i="2"/>
  <c r="BU248" i="2"/>
  <c r="BU249" i="2"/>
  <c r="BO88" i="2"/>
  <c r="BO89" i="2"/>
  <c r="BO120" i="2"/>
  <c r="BO28" i="2"/>
  <c r="BO97" i="2"/>
  <c r="BO195" i="2"/>
  <c r="BO149" i="2"/>
  <c r="BO150" i="2"/>
  <c r="BO125" i="2"/>
  <c r="BO163" i="2"/>
  <c r="BO190" i="2"/>
  <c r="BO54" i="2"/>
  <c r="BO109" i="2"/>
  <c r="BO162" i="2"/>
  <c r="BO178" i="2"/>
  <c r="BO103" i="2"/>
  <c r="BO20" i="2"/>
  <c r="BO104" i="2"/>
  <c r="BO248" i="2"/>
  <c r="BO249" i="2"/>
  <c r="BI88" i="2"/>
  <c r="BI89" i="2"/>
  <c r="BI120" i="2"/>
  <c r="BI28" i="2"/>
  <c r="BI97" i="2"/>
  <c r="BI195" i="2"/>
  <c r="BI149" i="2"/>
  <c r="BI150" i="2"/>
  <c r="BI125" i="2"/>
  <c r="BI163" i="2"/>
  <c r="BI190" i="2"/>
  <c r="BI54" i="2"/>
  <c r="BI109" i="2"/>
  <c r="BI162" i="2"/>
  <c r="BI178" i="2"/>
  <c r="BI103" i="2"/>
  <c r="BI20" i="2"/>
  <c r="BI104" i="2"/>
  <c r="BI248" i="2"/>
  <c r="BI249" i="2"/>
  <c r="BC88" i="2"/>
  <c r="BC89" i="2"/>
  <c r="BC120" i="2"/>
  <c r="BC28" i="2"/>
  <c r="BC97" i="2"/>
  <c r="BC195" i="2"/>
  <c r="BC149" i="2"/>
  <c r="BC150" i="2"/>
  <c r="BC125" i="2"/>
  <c r="BC163" i="2"/>
  <c r="BC190" i="2"/>
  <c r="BC54" i="2"/>
  <c r="BC109" i="2"/>
  <c r="BC162" i="2"/>
  <c r="BC178" i="2"/>
  <c r="BC103" i="2"/>
  <c r="BC20" i="2"/>
  <c r="BC104" i="2"/>
  <c r="BC248" i="2"/>
  <c r="BC249" i="2"/>
  <c r="K88" i="2"/>
  <c r="K89" i="2"/>
  <c r="K120" i="2"/>
  <c r="K28" i="2"/>
  <c r="K97" i="2"/>
  <c r="K195" i="2"/>
  <c r="K149" i="2"/>
  <c r="K150" i="2"/>
  <c r="K125" i="2"/>
  <c r="K163" i="2"/>
  <c r="K178" i="2"/>
  <c r="K103" i="2"/>
  <c r="K20" i="2"/>
  <c r="K104" i="2"/>
  <c r="K248" i="2"/>
  <c r="K249" i="2"/>
  <c r="AE88" i="2"/>
  <c r="AE89" i="2"/>
  <c r="AE120" i="2"/>
  <c r="AE28" i="2"/>
  <c r="AE97" i="2"/>
  <c r="AE195" i="2"/>
  <c r="AE149" i="2"/>
  <c r="AE150" i="2"/>
  <c r="AE125" i="2"/>
  <c r="AE163" i="2"/>
  <c r="AE190" i="2"/>
  <c r="AE54" i="2"/>
  <c r="AE109" i="2"/>
  <c r="AE162" i="2"/>
  <c r="AE178" i="2"/>
  <c r="AE103" i="2"/>
  <c r="AE20" i="2"/>
  <c r="AE104" i="2"/>
  <c r="AE248" i="2"/>
  <c r="AE249" i="2"/>
  <c r="AK88" i="2"/>
  <c r="AK89" i="2"/>
  <c r="AK120" i="2"/>
  <c r="AK28" i="2"/>
  <c r="AK97" i="2"/>
  <c r="AK195" i="2"/>
  <c r="AK149" i="2"/>
  <c r="AK150" i="2"/>
  <c r="AK125" i="2"/>
  <c r="AK163" i="2"/>
  <c r="AK190" i="2"/>
  <c r="AK54" i="2"/>
  <c r="AK109" i="2"/>
  <c r="AK162" i="2"/>
  <c r="AK178" i="2"/>
  <c r="AK103" i="2"/>
  <c r="AK20" i="2"/>
  <c r="AK104" i="2"/>
  <c r="AK248" i="2"/>
  <c r="AK249" i="2"/>
  <c r="AQ88" i="2"/>
  <c r="AQ89" i="2"/>
  <c r="AQ120" i="2"/>
  <c r="AQ28" i="2"/>
  <c r="AQ97" i="2"/>
  <c r="AQ195" i="2"/>
  <c r="AQ149" i="2"/>
  <c r="AQ150" i="2"/>
  <c r="AQ125" i="2"/>
  <c r="AQ163" i="2"/>
  <c r="AQ190" i="2"/>
  <c r="AQ54" i="2"/>
  <c r="AQ109" i="2"/>
  <c r="AQ162" i="2"/>
  <c r="AQ178" i="2"/>
  <c r="AQ103" i="2"/>
  <c r="AQ20" i="2"/>
  <c r="AQ104" i="2"/>
  <c r="AQ248" i="2"/>
  <c r="AQ249" i="2"/>
  <c r="AW88" i="2"/>
  <c r="AW89" i="2"/>
  <c r="AW120" i="2"/>
  <c r="AW28" i="2"/>
  <c r="AW97" i="2"/>
  <c r="AW195" i="2"/>
  <c r="AW149" i="2"/>
  <c r="AW150" i="2"/>
  <c r="AW125" i="2"/>
  <c r="AW163" i="2"/>
  <c r="AW190" i="2"/>
  <c r="AW54" i="2"/>
  <c r="AW109" i="2"/>
  <c r="AW162" i="2"/>
  <c r="AW178" i="2"/>
  <c r="AW103" i="2"/>
  <c r="AW20" i="2"/>
  <c r="AW104" i="2"/>
  <c r="AW248" i="2"/>
  <c r="AW249" i="2"/>
  <c r="L103" i="2" l="1"/>
  <c r="L150" i="2"/>
  <c r="L178" i="2"/>
  <c r="L149" i="2"/>
  <c r="L104" i="2"/>
  <c r="L162" i="2"/>
  <c r="L163" i="2"/>
  <c r="L195" i="2"/>
  <c r="L89" i="2"/>
  <c r="L249" i="2"/>
  <c r="L54" i="2"/>
  <c r="L248" i="2"/>
  <c r="L190" i="2"/>
  <c r="H190" i="2" s="1"/>
  <c r="BV190" i="2" s="1"/>
  <c r="BX190" i="2" s="1"/>
  <c r="BY190" i="2" s="1"/>
  <c r="L20" i="2"/>
  <c r="L109" i="2"/>
  <c r="L125" i="2"/>
  <c r="L97" i="2"/>
  <c r="H97" i="2" s="1"/>
  <c r="BV97" i="2" s="1"/>
  <c r="BX97" i="2" s="1"/>
  <c r="BY97" i="2" s="1"/>
  <c r="L88" i="2"/>
  <c r="BV120" i="2"/>
  <c r="BX120" i="2" s="1"/>
  <c r="BY120" i="2" s="1"/>
  <c r="H248" i="2" l="1"/>
  <c r="BV248" i="2" s="1"/>
  <c r="BX248" i="2" s="1"/>
  <c r="BY248" i="2" s="1"/>
  <c r="CB248" i="2"/>
  <c r="CC248" i="2" s="1"/>
  <c r="H249" i="2"/>
  <c r="BV249" i="2" s="1"/>
  <c r="BX249" i="2" s="1"/>
  <c r="BY249" i="2" s="1"/>
  <c r="CB249" i="2"/>
  <c r="CC249" i="2" s="1"/>
  <c r="K113" i="2"/>
  <c r="S113" i="2"/>
  <c r="Y113" i="2"/>
  <c r="AE113" i="2"/>
  <c r="AK113" i="2"/>
  <c r="AQ113" i="2"/>
  <c r="AW113" i="2"/>
  <c r="BC113" i="2"/>
  <c r="BI113" i="2"/>
  <c r="BO113" i="2"/>
  <c r="BU113" i="2"/>
  <c r="K30" i="2"/>
  <c r="S30" i="2"/>
  <c r="Y30" i="2"/>
  <c r="AE30" i="2"/>
  <c r="AK30" i="2"/>
  <c r="AQ30" i="2"/>
  <c r="AW30" i="2"/>
  <c r="BC30" i="2"/>
  <c r="BI30" i="2"/>
  <c r="BO30" i="2"/>
  <c r="BU30" i="2"/>
  <c r="K181" i="2"/>
  <c r="S181" i="2"/>
  <c r="Y181" i="2"/>
  <c r="AE181" i="2"/>
  <c r="AK181" i="2"/>
  <c r="AQ181" i="2"/>
  <c r="AW181" i="2"/>
  <c r="BC181" i="2"/>
  <c r="BI181" i="2"/>
  <c r="BO181" i="2"/>
  <c r="BU181" i="2"/>
  <c r="K52" i="2"/>
  <c r="S52" i="2"/>
  <c r="Y52" i="2"/>
  <c r="AE52" i="2"/>
  <c r="AK52" i="2"/>
  <c r="AQ52" i="2"/>
  <c r="AW52" i="2"/>
  <c r="BC52" i="2"/>
  <c r="BI52" i="2"/>
  <c r="BO52" i="2"/>
  <c r="BU52" i="2"/>
  <c r="K123" i="2"/>
  <c r="S123" i="2"/>
  <c r="Y123" i="2"/>
  <c r="AE123" i="2"/>
  <c r="AK123" i="2"/>
  <c r="AQ123" i="2"/>
  <c r="AW123" i="2"/>
  <c r="BC123" i="2"/>
  <c r="BI123" i="2"/>
  <c r="BO123" i="2"/>
  <c r="BU123" i="2"/>
  <c r="K124" i="2"/>
  <c r="S124" i="2"/>
  <c r="Y124" i="2"/>
  <c r="AE124" i="2"/>
  <c r="AK124" i="2"/>
  <c r="AQ124" i="2"/>
  <c r="AW124" i="2"/>
  <c r="BC124" i="2"/>
  <c r="BI124" i="2"/>
  <c r="BO124" i="2"/>
  <c r="BU124" i="2"/>
  <c r="K71" i="2"/>
  <c r="S71" i="2"/>
  <c r="Y71" i="2"/>
  <c r="AE71" i="2"/>
  <c r="AK71" i="2"/>
  <c r="AQ71" i="2"/>
  <c r="AW71" i="2"/>
  <c r="BC71" i="2"/>
  <c r="BI71" i="2"/>
  <c r="BO71" i="2"/>
  <c r="BU71" i="2"/>
  <c r="K108" i="2"/>
  <c r="S108" i="2"/>
  <c r="Y108" i="2"/>
  <c r="AE108" i="2"/>
  <c r="AK108" i="2"/>
  <c r="AQ108" i="2"/>
  <c r="AW108" i="2"/>
  <c r="BC108" i="2"/>
  <c r="BI108" i="2"/>
  <c r="BO108" i="2"/>
  <c r="BU108" i="2"/>
  <c r="K194" i="2"/>
  <c r="S194" i="2"/>
  <c r="Y194" i="2"/>
  <c r="AE194" i="2"/>
  <c r="AK194" i="2"/>
  <c r="AQ194" i="2"/>
  <c r="AW194" i="2"/>
  <c r="BC194" i="2"/>
  <c r="BI194" i="2"/>
  <c r="BO194" i="2"/>
  <c r="BU194" i="2"/>
  <c r="K117" i="2"/>
  <c r="S117" i="2"/>
  <c r="Y117" i="2"/>
  <c r="AE117" i="2"/>
  <c r="AK117" i="2"/>
  <c r="AQ117" i="2"/>
  <c r="AW117" i="2"/>
  <c r="BC117" i="2"/>
  <c r="BI117" i="2"/>
  <c r="BO117" i="2"/>
  <c r="BU117" i="2"/>
  <c r="CA26" i="2"/>
  <c r="CA88" i="2"/>
  <c r="CA111"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L71" i="2" l="1"/>
  <c r="L181" i="2"/>
  <c r="L52" i="2"/>
  <c r="L194" i="2"/>
  <c r="L123" i="2"/>
  <c r="L113" i="2"/>
  <c r="L108" i="2"/>
  <c r="L117" i="2"/>
  <c r="L124" i="2"/>
  <c r="L30" i="2"/>
  <c r="CO249" i="2"/>
  <c r="CS249" i="2"/>
  <c r="CQ249" i="2"/>
  <c r="CP249" i="2"/>
  <c r="CR249" i="2"/>
  <c r="CP248" i="2"/>
  <c r="CS248" i="2"/>
  <c r="CQ248" i="2"/>
  <c r="CR248" i="2"/>
  <c r="CO248" i="2"/>
  <c r="K140" i="2" l="1"/>
  <c r="K223" i="2"/>
  <c r="K138" i="2"/>
  <c r="K179" i="2"/>
  <c r="K62" i="2"/>
  <c r="K24" i="2"/>
  <c r="K25" i="2"/>
  <c r="K35" i="2"/>
  <c r="K116" i="2"/>
  <c r="K34" i="2"/>
  <c r="K37" i="2"/>
  <c r="K66" i="2"/>
  <c r="K145" i="2"/>
  <c r="K46" i="2"/>
  <c r="K19" i="2"/>
  <c r="K160" i="2"/>
  <c r="K38" i="2"/>
  <c r="K142" i="2"/>
  <c r="K94" i="2"/>
  <c r="K9" i="2"/>
  <c r="K67" i="2"/>
  <c r="BU223" i="2"/>
  <c r="BU138" i="2"/>
  <c r="BU179" i="2"/>
  <c r="BU62" i="2"/>
  <c r="BU24" i="2"/>
  <c r="BU25" i="2"/>
  <c r="BU35" i="2"/>
  <c r="BU116" i="2"/>
  <c r="BU37" i="2"/>
  <c r="BU66" i="2"/>
  <c r="BU145" i="2"/>
  <c r="BU46" i="2"/>
  <c r="BU19" i="2"/>
  <c r="BU160" i="2"/>
  <c r="BU38" i="2"/>
  <c r="BU142" i="2"/>
  <c r="BU94" i="2"/>
  <c r="BU9" i="2"/>
  <c r="BU67" i="2"/>
  <c r="S223" i="2"/>
  <c r="S138" i="2"/>
  <c r="S179" i="2"/>
  <c r="S62" i="2"/>
  <c r="S35" i="2"/>
  <c r="S116" i="2"/>
  <c r="S34" i="2"/>
  <c r="S37" i="2"/>
  <c r="S66" i="2"/>
  <c r="S145" i="2"/>
  <c r="S46" i="2"/>
  <c r="S19" i="2"/>
  <c r="S160" i="2"/>
  <c r="S38" i="2"/>
  <c r="S142" i="2"/>
  <c r="S94" i="2"/>
  <c r="S9" i="2"/>
  <c r="S67" i="2"/>
  <c r="Y223" i="2"/>
  <c r="Y138" i="2"/>
  <c r="Y179" i="2"/>
  <c r="Y62" i="2"/>
  <c r="Y24" i="2"/>
  <c r="Y25" i="2"/>
  <c r="Y35" i="2"/>
  <c r="Y116" i="2"/>
  <c r="Y34" i="2"/>
  <c r="Y37" i="2"/>
  <c r="Y66" i="2"/>
  <c r="Y145" i="2"/>
  <c r="Y46" i="2"/>
  <c r="Y19" i="2"/>
  <c r="Y160" i="2"/>
  <c r="Y38" i="2"/>
  <c r="Y142" i="2"/>
  <c r="Y94" i="2"/>
  <c r="Y9" i="2"/>
  <c r="Y67" i="2"/>
  <c r="AE223" i="2"/>
  <c r="AE138" i="2"/>
  <c r="AE179" i="2"/>
  <c r="AE62" i="2"/>
  <c r="AE24" i="2"/>
  <c r="AE25" i="2"/>
  <c r="AE35" i="2"/>
  <c r="AE116" i="2"/>
  <c r="AE34" i="2"/>
  <c r="AE37" i="2"/>
  <c r="AE66" i="2"/>
  <c r="AE145" i="2"/>
  <c r="AE46" i="2"/>
  <c r="AE19" i="2"/>
  <c r="AE160" i="2"/>
  <c r="AE38" i="2"/>
  <c r="AE142" i="2"/>
  <c r="AE94" i="2"/>
  <c r="AE9" i="2"/>
  <c r="AE67" i="2"/>
  <c r="AK223" i="2"/>
  <c r="AK138" i="2"/>
  <c r="AK179" i="2"/>
  <c r="AK62" i="2"/>
  <c r="AK24" i="2"/>
  <c r="AK25" i="2"/>
  <c r="AK35" i="2"/>
  <c r="AK116" i="2"/>
  <c r="AK34" i="2"/>
  <c r="AK37" i="2"/>
  <c r="AK66" i="2"/>
  <c r="AK145" i="2"/>
  <c r="AK46" i="2"/>
  <c r="AK19" i="2"/>
  <c r="AK160" i="2"/>
  <c r="AK38" i="2"/>
  <c r="AK142" i="2"/>
  <c r="AK94" i="2"/>
  <c r="AK9" i="2"/>
  <c r="AK67" i="2"/>
  <c r="AQ223" i="2"/>
  <c r="AQ138" i="2"/>
  <c r="AQ179" i="2"/>
  <c r="AQ62" i="2"/>
  <c r="AQ24" i="2"/>
  <c r="AQ25" i="2"/>
  <c r="AQ35" i="2"/>
  <c r="AQ116" i="2"/>
  <c r="AQ34" i="2"/>
  <c r="AQ37" i="2"/>
  <c r="AQ66" i="2"/>
  <c r="AQ145" i="2"/>
  <c r="AQ46" i="2"/>
  <c r="AQ19" i="2"/>
  <c r="AQ160" i="2"/>
  <c r="AQ38" i="2"/>
  <c r="AQ142" i="2"/>
  <c r="AQ94" i="2"/>
  <c r="AQ9" i="2"/>
  <c r="AQ67" i="2"/>
  <c r="AW223" i="2"/>
  <c r="AW138" i="2"/>
  <c r="AW179" i="2"/>
  <c r="AW62" i="2"/>
  <c r="AW24" i="2"/>
  <c r="AW25" i="2"/>
  <c r="AW35" i="2"/>
  <c r="AW116" i="2"/>
  <c r="AW34" i="2"/>
  <c r="AW37" i="2"/>
  <c r="AW66" i="2"/>
  <c r="AW145" i="2"/>
  <c r="AW46" i="2"/>
  <c r="AW19" i="2"/>
  <c r="AW160" i="2"/>
  <c r="AW38" i="2"/>
  <c r="AW142" i="2"/>
  <c r="AW94" i="2"/>
  <c r="AW9" i="2"/>
  <c r="AW67" i="2"/>
  <c r="BC223" i="2"/>
  <c r="BC138" i="2"/>
  <c r="BC179" i="2"/>
  <c r="BC62" i="2"/>
  <c r="BC24" i="2"/>
  <c r="BC25" i="2"/>
  <c r="BC35" i="2"/>
  <c r="BC116" i="2"/>
  <c r="BC34" i="2"/>
  <c r="BC37" i="2"/>
  <c r="BC66" i="2"/>
  <c r="BC145" i="2"/>
  <c r="BC46" i="2"/>
  <c r="BC19" i="2"/>
  <c r="BC160" i="2"/>
  <c r="BC38" i="2"/>
  <c r="BC142" i="2"/>
  <c r="BC94" i="2"/>
  <c r="BC9" i="2"/>
  <c r="BC67" i="2"/>
  <c r="BI223" i="2"/>
  <c r="BI138" i="2"/>
  <c r="BI179" i="2"/>
  <c r="BI62" i="2"/>
  <c r="BI24" i="2"/>
  <c r="BI25" i="2"/>
  <c r="BI35" i="2"/>
  <c r="BI116" i="2"/>
  <c r="BI34" i="2"/>
  <c r="BI37" i="2"/>
  <c r="BI66" i="2"/>
  <c r="BI145" i="2"/>
  <c r="BI46" i="2"/>
  <c r="BI19" i="2"/>
  <c r="BI160" i="2"/>
  <c r="BI38" i="2"/>
  <c r="BI142" i="2"/>
  <c r="BI94" i="2"/>
  <c r="BI9" i="2"/>
  <c r="BI67" i="2"/>
  <c r="BO223" i="2"/>
  <c r="BO138" i="2"/>
  <c r="BO179" i="2"/>
  <c r="BO62" i="2"/>
  <c r="BO24" i="2"/>
  <c r="BO25" i="2"/>
  <c r="BO35" i="2"/>
  <c r="BO116" i="2"/>
  <c r="BO34" i="2"/>
  <c r="BO37" i="2"/>
  <c r="BO66" i="2"/>
  <c r="BO145" i="2"/>
  <c r="BO46" i="2"/>
  <c r="BO19" i="2"/>
  <c r="BO160" i="2"/>
  <c r="BO38" i="2"/>
  <c r="BO142" i="2"/>
  <c r="BO94" i="2"/>
  <c r="BO9" i="2"/>
  <c r="BO67" i="2"/>
  <c r="AE167" i="2"/>
  <c r="L67" i="2" l="1"/>
  <c r="L38" i="2"/>
  <c r="L116" i="2"/>
  <c r="L9" i="2"/>
  <c r="L160" i="2"/>
  <c r="L35" i="2"/>
  <c r="L94" i="2"/>
  <c r="L19" i="2"/>
  <c r="L37" i="2"/>
  <c r="L138" i="2"/>
  <c r="L145" i="2"/>
  <c r="L62" i="2"/>
  <c r="L66" i="2"/>
  <c r="L179" i="2"/>
  <c r="L142" i="2"/>
  <c r="L46" i="2"/>
  <c r="L34" i="2"/>
  <c r="L223" i="2"/>
  <c r="BP250" i="2"/>
  <c r="BJ250" i="2"/>
  <c r="BD250" i="2"/>
  <c r="AX250" i="2"/>
  <c r="AR250" i="2"/>
  <c r="AL250" i="2"/>
  <c r="AF250" i="2"/>
  <c r="Z250" i="2"/>
  <c r="N250" i="2"/>
  <c r="T250" i="2"/>
  <c r="H223" i="2" l="1"/>
  <c r="BV223" i="2" s="1"/>
  <c r="BX223" i="2" s="1"/>
  <c r="BY223" i="2" s="1"/>
  <c r="BU247" i="2" l="1"/>
  <c r="BU107" i="2"/>
  <c r="BU39" i="2"/>
  <c r="BU63" i="2"/>
  <c r="BU169" i="2"/>
  <c r="BU168" i="2"/>
  <c r="BU158" i="2"/>
  <c r="BU167" i="2"/>
  <c r="BU111" i="2"/>
  <c r="BU110" i="2"/>
  <c r="BU31" i="2"/>
  <c r="BU92" i="2"/>
  <c r="BU164" i="2"/>
  <c r="BU166" i="2"/>
  <c r="BU61" i="2"/>
  <c r="BU45" i="2"/>
  <c r="BU212" i="2"/>
  <c r="BU112" i="2"/>
  <c r="BU175" i="2"/>
  <c r="BU81" i="2"/>
  <c r="BU159" i="2"/>
  <c r="BU183" i="2"/>
  <c r="BU139" i="2"/>
  <c r="BU10" i="2"/>
  <c r="BU131" i="2"/>
  <c r="BU115" i="2"/>
  <c r="BU36" i="2"/>
  <c r="BU32" i="2"/>
  <c r="BO247" i="2"/>
  <c r="BO107" i="2"/>
  <c r="BO39" i="2"/>
  <c r="BO63" i="2"/>
  <c r="BO169" i="2"/>
  <c r="BO168" i="2"/>
  <c r="BO158" i="2"/>
  <c r="BO167" i="2"/>
  <c r="BO31" i="2"/>
  <c r="BO92" i="2"/>
  <c r="BO164" i="2"/>
  <c r="BO166" i="2"/>
  <c r="BO61" i="2"/>
  <c r="BO45" i="2"/>
  <c r="BO212" i="2"/>
  <c r="BO112" i="2"/>
  <c r="BO175" i="2"/>
  <c r="BO81" i="2"/>
  <c r="BO159" i="2"/>
  <c r="BO183" i="2"/>
  <c r="BO139" i="2"/>
  <c r="BO10" i="2"/>
  <c r="BO131" i="2"/>
  <c r="BO115" i="2"/>
  <c r="BO36" i="2"/>
  <c r="BO32" i="2"/>
  <c r="BO140" i="2"/>
  <c r="BI247" i="2"/>
  <c r="BI107" i="2"/>
  <c r="BI39" i="2"/>
  <c r="BI63" i="2"/>
  <c r="BI169" i="2"/>
  <c r="BI168" i="2"/>
  <c r="BI158" i="2"/>
  <c r="BI167" i="2"/>
  <c r="BI111" i="2"/>
  <c r="BO111" i="2" s="1"/>
  <c r="BI110" i="2"/>
  <c r="BO110" i="2" s="1"/>
  <c r="BI31" i="2"/>
  <c r="BI92" i="2"/>
  <c r="BI164" i="2"/>
  <c r="BI166" i="2"/>
  <c r="BI61" i="2"/>
  <c r="BI45" i="2"/>
  <c r="BI212" i="2"/>
  <c r="BI112" i="2"/>
  <c r="BI175" i="2"/>
  <c r="BI81" i="2"/>
  <c r="BI159" i="2"/>
  <c r="BI183" i="2"/>
  <c r="BI139" i="2"/>
  <c r="BI10" i="2"/>
  <c r="BI131" i="2"/>
  <c r="BI115" i="2"/>
  <c r="BI36" i="2"/>
  <c r="BI32" i="2"/>
  <c r="BI140" i="2"/>
  <c r="BC247" i="2"/>
  <c r="BC107" i="2"/>
  <c r="BC39" i="2"/>
  <c r="BC63" i="2"/>
  <c r="BC169" i="2"/>
  <c r="BC168" i="2"/>
  <c r="BC158" i="2"/>
  <c r="BC167" i="2"/>
  <c r="BC111" i="2"/>
  <c r="BC110" i="2"/>
  <c r="BC31" i="2"/>
  <c r="BC92" i="2"/>
  <c r="BC164" i="2"/>
  <c r="BC166" i="2"/>
  <c r="BC61" i="2"/>
  <c r="BC45" i="2"/>
  <c r="BC212" i="2"/>
  <c r="BC112" i="2"/>
  <c r="BC175" i="2"/>
  <c r="BC81" i="2"/>
  <c r="BC159" i="2"/>
  <c r="BC183" i="2"/>
  <c r="BC139" i="2"/>
  <c r="BC10" i="2"/>
  <c r="BC131" i="2"/>
  <c r="BC115" i="2"/>
  <c r="BC36" i="2"/>
  <c r="BC32" i="2"/>
  <c r="BC140" i="2"/>
  <c r="AW247" i="2"/>
  <c r="AW107" i="2"/>
  <c r="AW39" i="2"/>
  <c r="AW63" i="2"/>
  <c r="AW169" i="2"/>
  <c r="AW168" i="2"/>
  <c r="AW158" i="2"/>
  <c r="AW167" i="2"/>
  <c r="AW111" i="2"/>
  <c r="AW110" i="2"/>
  <c r="AW31" i="2"/>
  <c r="AW92" i="2"/>
  <c r="AW164" i="2"/>
  <c r="AW166" i="2"/>
  <c r="AW61" i="2"/>
  <c r="AW45" i="2"/>
  <c r="AW212" i="2"/>
  <c r="AW112" i="2"/>
  <c r="AW175" i="2"/>
  <c r="AW81" i="2"/>
  <c r="AW159" i="2"/>
  <c r="AW183" i="2"/>
  <c r="AW139" i="2"/>
  <c r="AW10" i="2"/>
  <c r="AW131" i="2"/>
  <c r="AW115" i="2"/>
  <c r="AW36" i="2"/>
  <c r="AW32" i="2"/>
  <c r="AW140" i="2"/>
  <c r="AQ247" i="2"/>
  <c r="AQ107" i="2"/>
  <c r="AQ39" i="2"/>
  <c r="AQ63" i="2"/>
  <c r="AQ169" i="2"/>
  <c r="AQ168" i="2"/>
  <c r="AQ158" i="2"/>
  <c r="AQ167" i="2"/>
  <c r="AQ111" i="2"/>
  <c r="AQ110" i="2"/>
  <c r="AQ31" i="2"/>
  <c r="AQ92" i="2"/>
  <c r="AQ164" i="2"/>
  <c r="AQ166" i="2"/>
  <c r="AQ61" i="2"/>
  <c r="AQ45" i="2"/>
  <c r="AQ212" i="2"/>
  <c r="AQ112" i="2"/>
  <c r="AQ175" i="2"/>
  <c r="AQ81" i="2"/>
  <c r="AQ159" i="2"/>
  <c r="AQ183" i="2"/>
  <c r="AQ139" i="2"/>
  <c r="AQ10" i="2"/>
  <c r="AQ131" i="2"/>
  <c r="AQ115" i="2"/>
  <c r="AQ36" i="2"/>
  <c r="AQ32" i="2"/>
  <c r="AQ140" i="2"/>
  <c r="AK247" i="2"/>
  <c r="AK107" i="2"/>
  <c r="AK39" i="2"/>
  <c r="AK63" i="2"/>
  <c r="AK169" i="2"/>
  <c r="AK168" i="2"/>
  <c r="AK158" i="2"/>
  <c r="AK167" i="2"/>
  <c r="AK111" i="2"/>
  <c r="AK110" i="2"/>
  <c r="AK31" i="2"/>
  <c r="AK92" i="2"/>
  <c r="AK164" i="2"/>
  <c r="AK166" i="2"/>
  <c r="AK61" i="2"/>
  <c r="AK45" i="2"/>
  <c r="AK212" i="2"/>
  <c r="AK112" i="2"/>
  <c r="AK175" i="2"/>
  <c r="AK81" i="2"/>
  <c r="AK159" i="2"/>
  <c r="AK183" i="2"/>
  <c r="AK139" i="2"/>
  <c r="AK10" i="2"/>
  <c r="AK131" i="2"/>
  <c r="AK115" i="2"/>
  <c r="AK36" i="2"/>
  <c r="AK32" i="2"/>
  <c r="AK140" i="2"/>
  <c r="Y247" i="2"/>
  <c r="Y107" i="2"/>
  <c r="Y39" i="2"/>
  <c r="Y63" i="2"/>
  <c r="Y169" i="2"/>
  <c r="Y168" i="2"/>
  <c r="Y158" i="2"/>
  <c r="Y167" i="2"/>
  <c r="Y111" i="2"/>
  <c r="Y110" i="2"/>
  <c r="Y31" i="2"/>
  <c r="Y92" i="2"/>
  <c r="Y164" i="2"/>
  <c r="Y166" i="2"/>
  <c r="Y61" i="2"/>
  <c r="Y45" i="2"/>
  <c r="Y212" i="2"/>
  <c r="Y112" i="2"/>
  <c r="Y175" i="2"/>
  <c r="Y81" i="2"/>
  <c r="Y159" i="2"/>
  <c r="Y183" i="2"/>
  <c r="Y139" i="2"/>
  <c r="Y10" i="2"/>
  <c r="Y131" i="2"/>
  <c r="Y115" i="2"/>
  <c r="Y36" i="2"/>
  <c r="Y32" i="2"/>
  <c r="Y140" i="2"/>
  <c r="AE247" i="2"/>
  <c r="AE107" i="2"/>
  <c r="AE39" i="2"/>
  <c r="AE63" i="2"/>
  <c r="AE169" i="2"/>
  <c r="AE168" i="2"/>
  <c r="AE158" i="2"/>
  <c r="AE111" i="2"/>
  <c r="AE110" i="2"/>
  <c r="AE31" i="2"/>
  <c r="AE92" i="2"/>
  <c r="AE164" i="2"/>
  <c r="AE166" i="2"/>
  <c r="AE61" i="2"/>
  <c r="AE45" i="2"/>
  <c r="AE212" i="2"/>
  <c r="AE112" i="2"/>
  <c r="AE175" i="2"/>
  <c r="AE81" i="2"/>
  <c r="AE159" i="2"/>
  <c r="AE183" i="2"/>
  <c r="AE139" i="2"/>
  <c r="AE10" i="2"/>
  <c r="AE131" i="2"/>
  <c r="AE115" i="2"/>
  <c r="AE36" i="2"/>
  <c r="AE32" i="2"/>
  <c r="AE140" i="2"/>
  <c r="K152" i="2"/>
  <c r="K107" i="2"/>
  <c r="K63" i="2"/>
  <c r="K169" i="2"/>
  <c r="K168" i="2"/>
  <c r="K158" i="2"/>
  <c r="K167" i="2"/>
  <c r="K111" i="2"/>
  <c r="K110" i="2"/>
  <c r="K31" i="2"/>
  <c r="K92" i="2"/>
  <c r="K164" i="2"/>
  <c r="K166" i="2"/>
  <c r="K61" i="2"/>
  <c r="K45" i="2"/>
  <c r="K212" i="2"/>
  <c r="K112" i="2"/>
  <c r="K175" i="2"/>
  <c r="K81" i="2"/>
  <c r="K159" i="2"/>
  <c r="K183" i="2"/>
  <c r="K139" i="2"/>
  <c r="K10" i="2"/>
  <c r="K131" i="2"/>
  <c r="K115" i="2"/>
  <c r="K36" i="2"/>
  <c r="K32" i="2"/>
  <c r="S152" i="2"/>
  <c r="S107" i="2"/>
  <c r="S39" i="2"/>
  <c r="S63" i="2"/>
  <c r="S169" i="2"/>
  <c r="S168" i="2"/>
  <c r="S158" i="2"/>
  <c r="S167" i="2"/>
  <c r="S111" i="2"/>
  <c r="S110" i="2"/>
  <c r="S31" i="2"/>
  <c r="S92" i="2"/>
  <c r="S164" i="2"/>
  <c r="S166" i="2"/>
  <c r="S61" i="2"/>
  <c r="S45" i="2"/>
  <c r="S212" i="2"/>
  <c r="S112" i="2"/>
  <c r="S175" i="2"/>
  <c r="S81" i="2"/>
  <c r="S159" i="2"/>
  <c r="S183" i="2"/>
  <c r="S139" i="2"/>
  <c r="S10" i="2"/>
  <c r="S131" i="2"/>
  <c r="S115" i="2"/>
  <c r="S36" i="2"/>
  <c r="S32" i="2"/>
  <c r="S140" i="2"/>
  <c r="AE152" i="2"/>
  <c r="AK152" i="2"/>
  <c r="AQ152" i="2"/>
  <c r="AW152" i="2"/>
  <c r="BC152" i="2"/>
  <c r="BI152" i="2"/>
  <c r="BO152" i="2"/>
  <c r="BU152" i="2"/>
  <c r="L32" i="2" l="1"/>
  <c r="L10" i="2"/>
  <c r="L45" i="2"/>
  <c r="L92" i="2"/>
  <c r="L167" i="2"/>
  <c r="L63" i="2"/>
  <c r="L81" i="2"/>
  <c r="L139" i="2"/>
  <c r="L61" i="2"/>
  <c r="L39" i="2"/>
  <c r="L115" i="2"/>
  <c r="L183" i="2"/>
  <c r="L112" i="2"/>
  <c r="L166" i="2"/>
  <c r="L110" i="2"/>
  <c r="L168" i="2"/>
  <c r="H168" i="2" s="1"/>
  <c r="BV168" i="2" s="1"/>
  <c r="BX168" i="2" s="1"/>
  <c r="BY168" i="2" s="1"/>
  <c r="L107" i="2"/>
  <c r="L36" i="2"/>
  <c r="L175" i="2"/>
  <c r="L31" i="2"/>
  <c r="L158" i="2"/>
  <c r="L140" i="2"/>
  <c r="L131" i="2"/>
  <c r="L159" i="2"/>
  <c r="L212" i="2"/>
  <c r="H212" i="2" s="1"/>
  <c r="BV212" i="2" s="1"/>
  <c r="BX212" i="2" s="1"/>
  <c r="BY212" i="2" s="1"/>
  <c r="L164" i="2"/>
  <c r="L111" i="2"/>
  <c r="L169" i="2"/>
  <c r="L152" i="2"/>
  <c r="K39" i="2"/>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C250" i="2"/>
  <c r="C1" i="2" s="1"/>
  <c r="A250" i="2"/>
  <c r="K40" i="2"/>
  <c r="K119" i="2"/>
  <c r="K55" i="2"/>
  <c r="K56" i="2"/>
  <c r="K59" i="2"/>
  <c r="K68" i="2"/>
  <c r="K231" i="2"/>
  <c r="K232" i="2"/>
  <c r="K91" i="2"/>
  <c r="K95" i="2"/>
  <c r="K134" i="2"/>
  <c r="K155" i="2"/>
  <c r="K177" i="2"/>
  <c r="K247" i="2"/>
  <c r="K5" i="2"/>
  <c r="K75" i="2"/>
  <c r="K58" i="2"/>
  <c r="K64" i="2"/>
  <c r="K130" i="2"/>
  <c r="K83" i="2"/>
  <c r="K23" i="2"/>
  <c r="K153" i="2"/>
  <c r="K76" i="2"/>
  <c r="K80" i="2"/>
  <c r="K73" i="2"/>
  <c r="K165" i="2"/>
  <c r="K101" i="2"/>
  <c r="K199" i="2"/>
  <c r="K96" i="2"/>
  <c r="K42" i="2"/>
  <c r="K141" i="2"/>
  <c r="K236" i="2"/>
  <c r="K182" i="2"/>
  <c r="K60" i="2"/>
  <c r="K243" i="2"/>
  <c r="K14" i="2"/>
  <c r="K26" i="2"/>
  <c r="K47" i="2"/>
  <c r="K48" i="2"/>
  <c r="K53" i="2"/>
  <c r="K70" i="2"/>
  <c r="K79" i="2"/>
  <c r="K77" i="2"/>
  <c r="K196" i="2"/>
  <c r="K118" i="2"/>
  <c r="K154" i="2"/>
  <c r="K127" i="2"/>
  <c r="K128" i="2"/>
  <c r="K192" i="2"/>
  <c r="K151" i="2"/>
  <c r="K241" i="2"/>
  <c r="K49" i="2"/>
  <c r="K186" i="2"/>
  <c r="K244" i="2"/>
  <c r="K193" i="2"/>
  <c r="K57" i="2"/>
  <c r="K6" i="2"/>
  <c r="K7" i="2"/>
  <c r="K211" i="2"/>
  <c r="K129" i="2"/>
  <c r="K148" i="2"/>
  <c r="K161" i="2"/>
  <c r="K176" i="2"/>
  <c r="K87" i="2"/>
  <c r="K235" i="2"/>
  <c r="S119" i="2"/>
  <c r="Y119" i="2"/>
  <c r="AE119" i="2"/>
  <c r="AK119" i="2"/>
  <c r="AQ119" i="2"/>
  <c r="AW119" i="2"/>
  <c r="BC119" i="2"/>
  <c r="BI119" i="2"/>
  <c r="BO119" i="2"/>
  <c r="BU119" i="2"/>
  <c r="S55" i="2"/>
  <c r="AE55" i="2"/>
  <c r="AK55" i="2"/>
  <c r="AQ55" i="2"/>
  <c r="AW55" i="2"/>
  <c r="BC55" i="2"/>
  <c r="BI55" i="2"/>
  <c r="BO55" i="2"/>
  <c r="BU55" i="2"/>
  <c r="S56" i="2"/>
  <c r="Y56" i="2"/>
  <c r="AE56" i="2"/>
  <c r="AK56" i="2"/>
  <c r="AQ56" i="2"/>
  <c r="AW56" i="2"/>
  <c r="BC56" i="2"/>
  <c r="BI56" i="2"/>
  <c r="BO56" i="2"/>
  <c r="BU56" i="2"/>
  <c r="S59" i="2"/>
  <c r="Y59" i="2"/>
  <c r="AE59" i="2"/>
  <c r="AK59" i="2"/>
  <c r="AQ59" i="2"/>
  <c r="AW59" i="2"/>
  <c r="BC59" i="2"/>
  <c r="BI59" i="2"/>
  <c r="BO59" i="2"/>
  <c r="BU59" i="2"/>
  <c r="S68" i="2"/>
  <c r="Y68" i="2"/>
  <c r="AE68" i="2"/>
  <c r="AK68" i="2"/>
  <c r="AQ68" i="2"/>
  <c r="AW68" i="2"/>
  <c r="BC68" i="2"/>
  <c r="BO68" i="2"/>
  <c r="BU68" i="2"/>
  <c r="S231" i="2"/>
  <c r="Y231" i="2"/>
  <c r="AE231" i="2"/>
  <c r="AK231" i="2"/>
  <c r="AQ231" i="2"/>
  <c r="AW231" i="2"/>
  <c r="BC231" i="2"/>
  <c r="BI231" i="2"/>
  <c r="BO231" i="2"/>
  <c r="BU231" i="2"/>
  <c r="S232" i="2"/>
  <c r="Y232" i="2"/>
  <c r="AE232" i="2"/>
  <c r="AK232" i="2"/>
  <c r="AQ232" i="2"/>
  <c r="AW232" i="2"/>
  <c r="BC232" i="2"/>
  <c r="BI232" i="2"/>
  <c r="BO232" i="2"/>
  <c r="BU232" i="2"/>
  <c r="S91" i="2"/>
  <c r="Y91" i="2"/>
  <c r="AE91" i="2"/>
  <c r="AK91" i="2"/>
  <c r="AQ91" i="2"/>
  <c r="AW91" i="2"/>
  <c r="BC91" i="2"/>
  <c r="BI91" i="2"/>
  <c r="BO91" i="2"/>
  <c r="S95" i="2"/>
  <c r="Y95" i="2"/>
  <c r="AE95" i="2"/>
  <c r="AK95" i="2"/>
  <c r="AQ95" i="2"/>
  <c r="AW95" i="2"/>
  <c r="BC95" i="2"/>
  <c r="BI95" i="2"/>
  <c r="BO95" i="2"/>
  <c r="BU95" i="2"/>
  <c r="S134" i="2"/>
  <c r="Y134" i="2"/>
  <c r="AE134" i="2"/>
  <c r="AK134" i="2"/>
  <c r="AQ134" i="2"/>
  <c r="AW134" i="2"/>
  <c r="BC134" i="2"/>
  <c r="BI134" i="2"/>
  <c r="BO134" i="2"/>
  <c r="BU134" i="2"/>
  <c r="S155" i="2"/>
  <c r="AE155" i="2"/>
  <c r="AK155" i="2"/>
  <c r="AQ155" i="2"/>
  <c r="AW155" i="2"/>
  <c r="BC155" i="2"/>
  <c r="BI155" i="2"/>
  <c r="BO155" i="2"/>
  <c r="S177" i="2"/>
  <c r="AE177" i="2"/>
  <c r="AK177" i="2"/>
  <c r="AQ177" i="2"/>
  <c r="AW177" i="2"/>
  <c r="BC177" i="2"/>
  <c r="BI177" i="2"/>
  <c r="BO177" i="2"/>
  <c r="S247" i="2"/>
  <c r="S5" i="2"/>
  <c r="Y5" i="2"/>
  <c r="AE5" i="2"/>
  <c r="AK5" i="2"/>
  <c r="AQ5" i="2"/>
  <c r="AW5" i="2"/>
  <c r="BC5" i="2"/>
  <c r="BI5" i="2"/>
  <c r="BO5" i="2"/>
  <c r="BU5" i="2"/>
  <c r="S75" i="2"/>
  <c r="Y75" i="2"/>
  <c r="AE75" i="2"/>
  <c r="AK75" i="2"/>
  <c r="AQ75" i="2"/>
  <c r="AW75" i="2"/>
  <c r="BC75" i="2"/>
  <c r="BI75" i="2"/>
  <c r="BO75" i="2"/>
  <c r="BU75" i="2"/>
  <c r="S58" i="2"/>
  <c r="Y58" i="2"/>
  <c r="AE58" i="2"/>
  <c r="AK58" i="2"/>
  <c r="AQ58" i="2"/>
  <c r="AW58" i="2"/>
  <c r="BC58" i="2"/>
  <c r="BI58" i="2"/>
  <c r="BO58" i="2"/>
  <c r="BU58" i="2"/>
  <c r="S64" i="2"/>
  <c r="Y64" i="2"/>
  <c r="AE64" i="2"/>
  <c r="AK64" i="2"/>
  <c r="AQ64" i="2"/>
  <c r="AW64" i="2"/>
  <c r="BC64" i="2"/>
  <c r="BI64" i="2"/>
  <c r="BO64" i="2"/>
  <c r="BU64" i="2"/>
  <c r="S130" i="2"/>
  <c r="AE130" i="2"/>
  <c r="AK130" i="2"/>
  <c r="AQ130" i="2"/>
  <c r="AW130" i="2"/>
  <c r="BC130" i="2"/>
  <c r="BI130" i="2"/>
  <c r="BO130" i="2"/>
  <c r="BU130" i="2"/>
  <c r="S83" i="2"/>
  <c r="Y83" i="2"/>
  <c r="AE83" i="2"/>
  <c r="AK83" i="2"/>
  <c r="AQ83" i="2"/>
  <c r="AW83" i="2"/>
  <c r="BC83" i="2"/>
  <c r="BI83" i="2"/>
  <c r="BO83" i="2"/>
  <c r="BU83" i="2"/>
  <c r="Y23" i="2"/>
  <c r="AE23" i="2"/>
  <c r="AK23" i="2"/>
  <c r="AQ23" i="2"/>
  <c r="AW23" i="2"/>
  <c r="BC23" i="2"/>
  <c r="BI23" i="2"/>
  <c r="BO23" i="2"/>
  <c r="BU23" i="2"/>
  <c r="S153" i="2"/>
  <c r="Y153" i="2"/>
  <c r="AE153" i="2"/>
  <c r="AK153" i="2"/>
  <c r="AQ153" i="2"/>
  <c r="AW153" i="2"/>
  <c r="BC153" i="2"/>
  <c r="BI153" i="2"/>
  <c r="BO153" i="2"/>
  <c r="BU153" i="2"/>
  <c r="S72" i="2"/>
  <c r="Y72" i="2"/>
  <c r="AE72" i="2"/>
  <c r="AK72" i="2"/>
  <c r="AQ72" i="2"/>
  <c r="AW72" i="2"/>
  <c r="BC72" i="2"/>
  <c r="BI72" i="2"/>
  <c r="BO72" i="2"/>
  <c r="BU72" i="2"/>
  <c r="S76" i="2"/>
  <c r="Y76" i="2"/>
  <c r="AE76" i="2"/>
  <c r="AK76" i="2"/>
  <c r="AQ76" i="2"/>
  <c r="AW76" i="2"/>
  <c r="BC76" i="2"/>
  <c r="BI76" i="2"/>
  <c r="BO76" i="2"/>
  <c r="BU76" i="2"/>
  <c r="S80" i="2"/>
  <c r="Y80" i="2"/>
  <c r="AE80" i="2"/>
  <c r="AK80" i="2"/>
  <c r="AQ80" i="2"/>
  <c r="AW80" i="2"/>
  <c r="BC80" i="2"/>
  <c r="BI80" i="2"/>
  <c r="BO80" i="2"/>
  <c r="BU80" i="2"/>
  <c r="S73" i="2"/>
  <c r="Y73" i="2"/>
  <c r="AE73" i="2"/>
  <c r="AK73" i="2"/>
  <c r="AQ73" i="2"/>
  <c r="AW73" i="2"/>
  <c r="BC73" i="2"/>
  <c r="BI73" i="2"/>
  <c r="BO73" i="2"/>
  <c r="BU73" i="2"/>
  <c r="S165" i="2"/>
  <c r="Y165" i="2"/>
  <c r="AE165" i="2"/>
  <c r="AK165" i="2"/>
  <c r="AQ165" i="2"/>
  <c r="AW165" i="2"/>
  <c r="BC165" i="2"/>
  <c r="BI165" i="2"/>
  <c r="BO165" i="2"/>
  <c r="BU165" i="2"/>
  <c r="S101" i="2"/>
  <c r="Y101" i="2"/>
  <c r="AE101" i="2"/>
  <c r="AK101" i="2"/>
  <c r="AQ101" i="2"/>
  <c r="AW101" i="2"/>
  <c r="BC101" i="2"/>
  <c r="BI101" i="2"/>
  <c r="BO101" i="2"/>
  <c r="BU101" i="2"/>
  <c r="S199" i="2"/>
  <c r="Y199" i="2"/>
  <c r="AE199" i="2"/>
  <c r="AK199" i="2"/>
  <c r="AQ199" i="2"/>
  <c r="AW199" i="2"/>
  <c r="BC199" i="2"/>
  <c r="BI199" i="2"/>
  <c r="BO199" i="2"/>
  <c r="BU199" i="2"/>
  <c r="S96" i="2"/>
  <c r="Y96" i="2"/>
  <c r="AE96" i="2"/>
  <c r="AK96" i="2"/>
  <c r="AQ96" i="2"/>
  <c r="AW96" i="2"/>
  <c r="BC96" i="2"/>
  <c r="BI96" i="2"/>
  <c r="BO96" i="2"/>
  <c r="BU96" i="2"/>
  <c r="S42" i="2"/>
  <c r="Y42" i="2"/>
  <c r="AE42" i="2"/>
  <c r="AK42" i="2"/>
  <c r="AQ42" i="2"/>
  <c r="AW42" i="2"/>
  <c r="BC42" i="2"/>
  <c r="BI42" i="2"/>
  <c r="BO42" i="2"/>
  <c r="BU42" i="2"/>
  <c r="S141" i="2"/>
  <c r="Y141" i="2"/>
  <c r="AE141" i="2"/>
  <c r="AK141" i="2"/>
  <c r="AQ141" i="2"/>
  <c r="AW141" i="2"/>
  <c r="BC141" i="2"/>
  <c r="BI141" i="2"/>
  <c r="BO141" i="2"/>
  <c r="BU141" i="2"/>
  <c r="S236" i="2"/>
  <c r="Y236" i="2"/>
  <c r="AE236" i="2"/>
  <c r="AK236" i="2"/>
  <c r="AQ236" i="2"/>
  <c r="AW236" i="2"/>
  <c r="BC236" i="2"/>
  <c r="BI236" i="2"/>
  <c r="BO236" i="2"/>
  <c r="BU236" i="2"/>
  <c r="S182" i="2"/>
  <c r="Y182" i="2"/>
  <c r="AE182" i="2"/>
  <c r="AK182" i="2"/>
  <c r="AQ182" i="2"/>
  <c r="AW182" i="2"/>
  <c r="BC182" i="2"/>
  <c r="BI182" i="2"/>
  <c r="BO182" i="2"/>
  <c r="BU182" i="2"/>
  <c r="S60" i="2"/>
  <c r="Y60" i="2"/>
  <c r="AE60" i="2"/>
  <c r="AK60" i="2"/>
  <c r="AQ60" i="2"/>
  <c r="AW60" i="2"/>
  <c r="BC60" i="2"/>
  <c r="BI60" i="2"/>
  <c r="BO60" i="2"/>
  <c r="BU60" i="2"/>
  <c r="S243" i="2"/>
  <c r="Y243" i="2"/>
  <c r="AE243" i="2"/>
  <c r="AK243" i="2"/>
  <c r="AQ243" i="2"/>
  <c r="AW243" i="2"/>
  <c r="BC243" i="2"/>
  <c r="BI243" i="2"/>
  <c r="BO243" i="2"/>
  <c r="BU243" i="2"/>
  <c r="S14" i="2"/>
  <c r="Y14" i="2"/>
  <c r="AE14" i="2"/>
  <c r="AK14" i="2"/>
  <c r="AQ14" i="2"/>
  <c r="AW14" i="2"/>
  <c r="BC14" i="2"/>
  <c r="BI14" i="2"/>
  <c r="BO14" i="2"/>
  <c r="BU14" i="2"/>
  <c r="Y26" i="2"/>
  <c r="AE26" i="2"/>
  <c r="AK26" i="2"/>
  <c r="AQ26" i="2"/>
  <c r="AW26" i="2"/>
  <c r="BC26" i="2"/>
  <c r="BI26" i="2"/>
  <c r="BO26" i="2"/>
  <c r="BU26" i="2"/>
  <c r="S47" i="2"/>
  <c r="Y47" i="2"/>
  <c r="AE47" i="2"/>
  <c r="AK47" i="2"/>
  <c r="AQ47" i="2"/>
  <c r="AW47" i="2"/>
  <c r="BC47" i="2"/>
  <c r="BI47" i="2"/>
  <c r="BO47" i="2"/>
  <c r="BU47" i="2"/>
  <c r="S48" i="2"/>
  <c r="Y48" i="2"/>
  <c r="AE48" i="2"/>
  <c r="AK48" i="2"/>
  <c r="AQ48" i="2"/>
  <c r="AW48" i="2"/>
  <c r="BC48" i="2"/>
  <c r="BI48" i="2"/>
  <c r="BO48" i="2"/>
  <c r="BU48" i="2"/>
  <c r="S53" i="2"/>
  <c r="Y53" i="2"/>
  <c r="AE53" i="2"/>
  <c r="AK53" i="2"/>
  <c r="AQ53" i="2"/>
  <c r="AW53" i="2"/>
  <c r="BC53" i="2"/>
  <c r="BI53" i="2"/>
  <c r="BO53" i="2"/>
  <c r="BU53" i="2"/>
  <c r="S70" i="2"/>
  <c r="Y70" i="2"/>
  <c r="AE70" i="2"/>
  <c r="AK70" i="2"/>
  <c r="AQ70" i="2"/>
  <c r="AW70" i="2"/>
  <c r="BC70" i="2"/>
  <c r="BI70" i="2"/>
  <c r="BO70" i="2"/>
  <c r="BU70" i="2"/>
  <c r="S79" i="2"/>
  <c r="Y79" i="2"/>
  <c r="AE79" i="2"/>
  <c r="AK79" i="2"/>
  <c r="AQ79" i="2"/>
  <c r="AW79" i="2"/>
  <c r="BC79" i="2"/>
  <c r="BI79" i="2"/>
  <c r="BO79" i="2"/>
  <c r="BU79" i="2"/>
  <c r="S77" i="2"/>
  <c r="Y77" i="2"/>
  <c r="AE77" i="2"/>
  <c r="AK77" i="2"/>
  <c r="AQ77" i="2"/>
  <c r="AW77" i="2"/>
  <c r="BC77" i="2"/>
  <c r="BI77" i="2"/>
  <c r="BO77" i="2"/>
  <c r="BU77" i="2"/>
  <c r="S196" i="2"/>
  <c r="Y196" i="2"/>
  <c r="AE196" i="2"/>
  <c r="AK196" i="2"/>
  <c r="AQ196" i="2"/>
  <c r="AW196" i="2"/>
  <c r="BC196" i="2"/>
  <c r="BI196" i="2"/>
  <c r="BO196" i="2"/>
  <c r="BU196" i="2"/>
  <c r="S118" i="2"/>
  <c r="Y118" i="2"/>
  <c r="AE118" i="2"/>
  <c r="AK118" i="2"/>
  <c r="AQ118" i="2"/>
  <c r="AW118" i="2"/>
  <c r="BC118" i="2"/>
  <c r="BI118" i="2"/>
  <c r="BO118" i="2"/>
  <c r="BU118" i="2"/>
  <c r="S154" i="2"/>
  <c r="Y154" i="2"/>
  <c r="AE154" i="2"/>
  <c r="AK154" i="2"/>
  <c r="AQ154" i="2"/>
  <c r="AW154" i="2"/>
  <c r="BC154" i="2"/>
  <c r="BI154" i="2"/>
  <c r="BO154" i="2"/>
  <c r="BU154" i="2"/>
  <c r="S127" i="2"/>
  <c r="Y127" i="2"/>
  <c r="AE127" i="2"/>
  <c r="AK127" i="2"/>
  <c r="AQ127" i="2"/>
  <c r="AW127" i="2"/>
  <c r="BC127" i="2"/>
  <c r="BI127" i="2"/>
  <c r="BO127" i="2"/>
  <c r="BU127" i="2"/>
  <c r="S128" i="2"/>
  <c r="Y128" i="2"/>
  <c r="AE128" i="2"/>
  <c r="AK128" i="2"/>
  <c r="AQ128" i="2"/>
  <c r="AW128" i="2"/>
  <c r="BC128" i="2"/>
  <c r="BI128" i="2"/>
  <c r="BO128" i="2"/>
  <c r="BU128" i="2"/>
  <c r="S192" i="2"/>
  <c r="Y192" i="2"/>
  <c r="AE192" i="2"/>
  <c r="AK192" i="2"/>
  <c r="AQ192" i="2"/>
  <c r="AW192" i="2"/>
  <c r="BC192" i="2"/>
  <c r="BI192" i="2"/>
  <c r="BO192" i="2"/>
  <c r="BU192" i="2"/>
  <c r="S151" i="2"/>
  <c r="Y151" i="2"/>
  <c r="AE151" i="2"/>
  <c r="AK151" i="2"/>
  <c r="AQ151" i="2"/>
  <c r="AW151" i="2"/>
  <c r="BC151" i="2"/>
  <c r="BI151" i="2"/>
  <c r="BO151" i="2"/>
  <c r="BU151" i="2"/>
  <c r="S241" i="2"/>
  <c r="Y241" i="2"/>
  <c r="AE241" i="2"/>
  <c r="AK241" i="2"/>
  <c r="AQ241" i="2"/>
  <c r="AW241" i="2"/>
  <c r="BC241" i="2"/>
  <c r="BI241" i="2"/>
  <c r="BO241" i="2"/>
  <c r="BU241" i="2"/>
  <c r="S49" i="2"/>
  <c r="Y49" i="2"/>
  <c r="AE49" i="2"/>
  <c r="AK49" i="2"/>
  <c r="AQ49" i="2"/>
  <c r="AW49" i="2"/>
  <c r="BC49" i="2"/>
  <c r="BI49" i="2"/>
  <c r="BO49" i="2"/>
  <c r="BU49" i="2"/>
  <c r="S186" i="2"/>
  <c r="Y186" i="2"/>
  <c r="AE186" i="2"/>
  <c r="AK186" i="2"/>
  <c r="AQ186" i="2"/>
  <c r="AW186" i="2"/>
  <c r="BC186" i="2"/>
  <c r="BI186" i="2"/>
  <c r="BO186" i="2"/>
  <c r="BU186" i="2"/>
  <c r="S244" i="2"/>
  <c r="Y244" i="2"/>
  <c r="AE244" i="2"/>
  <c r="AK244" i="2"/>
  <c r="AQ244" i="2"/>
  <c r="AW244" i="2"/>
  <c r="BC244" i="2"/>
  <c r="BI244" i="2"/>
  <c r="BO244" i="2"/>
  <c r="BU244" i="2"/>
  <c r="S193" i="2"/>
  <c r="Y193" i="2"/>
  <c r="AE193" i="2"/>
  <c r="AK193" i="2"/>
  <c r="AQ193" i="2"/>
  <c r="AW193" i="2"/>
  <c r="BC193" i="2"/>
  <c r="BI193" i="2"/>
  <c r="BO193" i="2"/>
  <c r="BU193" i="2"/>
  <c r="S57" i="2"/>
  <c r="Y57" i="2"/>
  <c r="AE57" i="2"/>
  <c r="AK57" i="2"/>
  <c r="AQ57" i="2"/>
  <c r="AW57" i="2"/>
  <c r="BC57" i="2"/>
  <c r="BI57" i="2"/>
  <c r="BO57" i="2"/>
  <c r="BU57" i="2"/>
  <c r="S6" i="2"/>
  <c r="Y6" i="2"/>
  <c r="AE6" i="2"/>
  <c r="AK6" i="2"/>
  <c r="AQ6" i="2"/>
  <c r="AW6" i="2"/>
  <c r="BC6" i="2"/>
  <c r="BI6" i="2"/>
  <c r="BO6" i="2"/>
  <c r="BU6" i="2"/>
  <c r="S7" i="2"/>
  <c r="Y7" i="2"/>
  <c r="AE7" i="2"/>
  <c r="AK7" i="2"/>
  <c r="AQ7" i="2"/>
  <c r="AW7" i="2"/>
  <c r="BC7" i="2"/>
  <c r="BI7" i="2"/>
  <c r="BO7" i="2"/>
  <c r="BU7" i="2"/>
  <c r="S211" i="2"/>
  <c r="Y211" i="2"/>
  <c r="AE211" i="2"/>
  <c r="AK211" i="2"/>
  <c r="AQ211" i="2"/>
  <c r="AW211" i="2"/>
  <c r="BC211" i="2"/>
  <c r="BI211" i="2"/>
  <c r="BO211" i="2"/>
  <c r="BU211" i="2"/>
  <c r="S129" i="2"/>
  <c r="Y129" i="2"/>
  <c r="AE129" i="2"/>
  <c r="AK129" i="2"/>
  <c r="AQ129" i="2"/>
  <c r="AW129" i="2"/>
  <c r="BC129" i="2"/>
  <c r="BI129" i="2"/>
  <c r="BO129" i="2"/>
  <c r="BU129" i="2"/>
  <c r="S148" i="2"/>
  <c r="Y148" i="2"/>
  <c r="AE148" i="2"/>
  <c r="AK148" i="2"/>
  <c r="AQ148" i="2"/>
  <c r="AW148" i="2"/>
  <c r="BC148" i="2"/>
  <c r="BI148" i="2"/>
  <c r="BO148" i="2"/>
  <c r="BU148" i="2"/>
  <c r="S161" i="2"/>
  <c r="Y161" i="2"/>
  <c r="AE161" i="2"/>
  <c r="AK161" i="2"/>
  <c r="AQ161" i="2"/>
  <c r="AW161" i="2"/>
  <c r="BC161" i="2"/>
  <c r="BI161" i="2"/>
  <c r="BO161" i="2"/>
  <c r="BU161" i="2"/>
  <c r="S176" i="2"/>
  <c r="Y176" i="2"/>
  <c r="AE176" i="2"/>
  <c r="AK176" i="2"/>
  <c r="AQ176" i="2"/>
  <c r="AW176" i="2"/>
  <c r="BC176" i="2"/>
  <c r="BI176" i="2"/>
  <c r="BO176" i="2"/>
  <c r="BU176" i="2"/>
  <c r="S87" i="2"/>
  <c r="Y87" i="2"/>
  <c r="AE87" i="2"/>
  <c r="AK87" i="2"/>
  <c r="AQ87" i="2"/>
  <c r="AW87" i="2"/>
  <c r="BC87" i="2"/>
  <c r="BI87" i="2"/>
  <c r="BO87" i="2"/>
  <c r="BU87" i="2"/>
  <c r="S235" i="2"/>
  <c r="Y235" i="2"/>
  <c r="AE235" i="2"/>
  <c r="AK235" i="2"/>
  <c r="AQ235" i="2"/>
  <c r="AW235" i="2"/>
  <c r="BC235" i="2"/>
  <c r="BI235" i="2"/>
  <c r="BO235" i="2"/>
  <c r="BU235" i="2"/>
  <c r="S40" i="2"/>
  <c r="AE40" i="2"/>
  <c r="AK40" i="2"/>
  <c r="AQ40" i="2"/>
  <c r="AW40" i="2"/>
  <c r="BC40" i="2"/>
  <c r="BI40" i="2"/>
  <c r="BO40" i="2"/>
  <c r="BU40" i="2"/>
  <c r="S15" i="2"/>
  <c r="S22" i="2"/>
  <c r="S51" i="2"/>
  <c r="S43" i="2"/>
  <c r="S200" i="2"/>
  <c r="S11" i="2"/>
  <c r="S201" i="2"/>
  <c r="S74" i="2"/>
  <c r="S202" i="2"/>
  <c r="S78" i="2"/>
  <c r="S203" i="2"/>
  <c r="S86" i="2"/>
  <c r="S90" i="2"/>
  <c r="S204" i="2"/>
  <c r="S114" i="2"/>
  <c r="S205" i="2"/>
  <c r="S206" i="2"/>
  <c r="S207" i="2"/>
  <c r="S121" i="2"/>
  <c r="S126" i="2"/>
  <c r="S132" i="2"/>
  <c r="S135" i="2"/>
  <c r="S137" i="2"/>
  <c r="S208" i="2"/>
  <c r="S144" i="2"/>
  <c r="S146" i="2"/>
  <c r="S133" i="2"/>
  <c r="S209" i="2"/>
  <c r="S213" i="2"/>
  <c r="S210" i="2"/>
  <c r="S238" i="2"/>
  <c r="S173" i="2"/>
  <c r="S174" i="2"/>
  <c r="S239" i="2"/>
  <c r="S240" i="2"/>
  <c r="S191" i="2"/>
  <c r="S245" i="2"/>
  <c r="S12" i="2"/>
  <c r="S214" i="2"/>
  <c r="S16" i="2"/>
  <c r="S18" i="2"/>
  <c r="S215" i="2"/>
  <c r="S27" i="2"/>
  <c r="S29" i="2"/>
  <c r="S41" i="2"/>
  <c r="S44" i="2"/>
  <c r="S65" i="2"/>
  <c r="S69" i="2"/>
  <c r="S189" i="2"/>
  <c r="S82" i="2"/>
  <c r="S84" i="2"/>
  <c r="S85" i="2"/>
  <c r="S93" i="2"/>
  <c r="S99" i="2"/>
  <c r="S100" i="2"/>
  <c r="S102" i="2"/>
  <c r="S216" i="2"/>
  <c r="S105" i="2"/>
  <c r="S220" i="2"/>
  <c r="S217" i="2"/>
  <c r="S218" i="2"/>
  <c r="S143" i="2"/>
  <c r="S219" i="2"/>
  <c r="S157" i="2"/>
  <c r="S237" i="2"/>
  <c r="S171" i="2"/>
  <c r="S172" i="2"/>
  <c r="S180" i="2"/>
  <c r="S242" i="2"/>
  <c r="S184" i="2"/>
  <c r="S185" i="2"/>
  <c r="S187" i="2"/>
  <c r="S188" i="2"/>
  <c r="S198" i="2"/>
  <c r="S246" i="2"/>
  <c r="S8" i="2"/>
  <c r="S221" i="2"/>
  <c r="S17" i="2"/>
  <c r="S33" i="2"/>
  <c r="S222" i="2"/>
  <c r="S50" i="2"/>
  <c r="S224" i="2"/>
  <c r="S136" i="2"/>
  <c r="S225" i="2"/>
  <c r="S98" i="2"/>
  <c r="S106" i="2"/>
  <c r="S226" i="2"/>
  <c r="S227" i="2"/>
  <c r="S122" i="2"/>
  <c r="S228" i="2"/>
  <c r="S147" i="2"/>
  <c r="S229" i="2"/>
  <c r="S230" i="2"/>
  <c r="S233" i="2"/>
  <c r="S156" i="2"/>
  <c r="S234" i="2"/>
  <c r="S197" i="2"/>
  <c r="Y15" i="2"/>
  <c r="Y22" i="2"/>
  <c r="Y51" i="2"/>
  <c r="Y43" i="2"/>
  <c r="Y200" i="2"/>
  <c r="Y11" i="2"/>
  <c r="Y201" i="2"/>
  <c r="Y74" i="2"/>
  <c r="Y202" i="2"/>
  <c r="Y78" i="2"/>
  <c r="Y203" i="2"/>
  <c r="Y86" i="2"/>
  <c r="Y90" i="2"/>
  <c r="Y204" i="2"/>
  <c r="Y114" i="2"/>
  <c r="Y205" i="2"/>
  <c r="Y206" i="2"/>
  <c r="Y207" i="2"/>
  <c r="Y121" i="2"/>
  <c r="Y126" i="2"/>
  <c r="Y132" i="2"/>
  <c r="Y135" i="2"/>
  <c r="Y137" i="2"/>
  <c r="Y208" i="2"/>
  <c r="Y144" i="2"/>
  <c r="Y146" i="2"/>
  <c r="Y133" i="2"/>
  <c r="Y209" i="2"/>
  <c r="Y213" i="2"/>
  <c r="Y210" i="2"/>
  <c r="Y238" i="2"/>
  <c r="Y173" i="2"/>
  <c r="Y174" i="2"/>
  <c r="Y239" i="2"/>
  <c r="Y240" i="2"/>
  <c r="Y191" i="2"/>
  <c r="Y245" i="2"/>
  <c r="Y12" i="2"/>
  <c r="Y214" i="2"/>
  <c r="Y16" i="2"/>
  <c r="Y18" i="2"/>
  <c r="Y215" i="2"/>
  <c r="Y27" i="2"/>
  <c r="Y29" i="2"/>
  <c r="Y41" i="2"/>
  <c r="Y44" i="2"/>
  <c r="Y65" i="2"/>
  <c r="Y69" i="2"/>
  <c r="Y189" i="2"/>
  <c r="Y82" i="2"/>
  <c r="Y84" i="2"/>
  <c r="Y85" i="2"/>
  <c r="Y93" i="2"/>
  <c r="Y99" i="2"/>
  <c r="Y100" i="2"/>
  <c r="Y102" i="2"/>
  <c r="Y216" i="2"/>
  <c r="Y105" i="2"/>
  <c r="Y220" i="2"/>
  <c r="Y217" i="2"/>
  <c r="Y218" i="2"/>
  <c r="Y143" i="2"/>
  <c r="Y219" i="2"/>
  <c r="Y157" i="2"/>
  <c r="Y237" i="2"/>
  <c r="Y171" i="2"/>
  <c r="Y172" i="2"/>
  <c r="Y180" i="2"/>
  <c r="Y242" i="2"/>
  <c r="Y184" i="2"/>
  <c r="Y185" i="2"/>
  <c r="Y187" i="2"/>
  <c r="Y188" i="2"/>
  <c r="Y198" i="2"/>
  <c r="Y246" i="2"/>
  <c r="Y221" i="2"/>
  <c r="Y17" i="2"/>
  <c r="Y21" i="2"/>
  <c r="Y33" i="2"/>
  <c r="Y222" i="2"/>
  <c r="Y224" i="2"/>
  <c r="Y136" i="2"/>
  <c r="Y225" i="2"/>
  <c r="Y98" i="2"/>
  <c r="Y106" i="2"/>
  <c r="Y226" i="2"/>
  <c r="Y227" i="2"/>
  <c r="Y122" i="2"/>
  <c r="Y228" i="2"/>
  <c r="Y147" i="2"/>
  <c r="Y229" i="2"/>
  <c r="Y230" i="2"/>
  <c r="Y233" i="2"/>
  <c r="Y156" i="2"/>
  <c r="Y234" i="2"/>
  <c r="Y170" i="2"/>
  <c r="Y197" i="2"/>
  <c r="AE15" i="2"/>
  <c r="AE22" i="2"/>
  <c r="AE51" i="2"/>
  <c r="AE43" i="2"/>
  <c r="AE200" i="2"/>
  <c r="AE11" i="2"/>
  <c r="AE201" i="2"/>
  <c r="AE74" i="2"/>
  <c r="AE202" i="2"/>
  <c r="AE78" i="2"/>
  <c r="AE203" i="2"/>
  <c r="AE86" i="2"/>
  <c r="AE90" i="2"/>
  <c r="AE204" i="2"/>
  <c r="AE114" i="2"/>
  <c r="AE205" i="2"/>
  <c r="AE206" i="2"/>
  <c r="AE207" i="2"/>
  <c r="AE121" i="2"/>
  <c r="AE126" i="2"/>
  <c r="AE132" i="2"/>
  <c r="AE135" i="2"/>
  <c r="AE137" i="2"/>
  <c r="AE208" i="2"/>
  <c r="AE144" i="2"/>
  <c r="AE146" i="2"/>
  <c r="AE133" i="2"/>
  <c r="AE209" i="2"/>
  <c r="AE213" i="2"/>
  <c r="AE210" i="2"/>
  <c r="AE238" i="2"/>
  <c r="AE173" i="2"/>
  <c r="AE174" i="2"/>
  <c r="AE239" i="2"/>
  <c r="AE240" i="2"/>
  <c r="AE191" i="2"/>
  <c r="AE245" i="2"/>
  <c r="AE12" i="2"/>
  <c r="AE214" i="2"/>
  <c r="AE16" i="2"/>
  <c r="AE18" i="2"/>
  <c r="AE215" i="2"/>
  <c r="AE27" i="2"/>
  <c r="AE29" i="2"/>
  <c r="AE41" i="2"/>
  <c r="AE44" i="2"/>
  <c r="AE65" i="2"/>
  <c r="AE69" i="2"/>
  <c r="AE189" i="2"/>
  <c r="AE82" i="2"/>
  <c r="AE84" i="2"/>
  <c r="AE85" i="2"/>
  <c r="AE93" i="2"/>
  <c r="AE99" i="2"/>
  <c r="AE100" i="2"/>
  <c r="AE102" i="2"/>
  <c r="AE216" i="2"/>
  <c r="AE105" i="2"/>
  <c r="AE220" i="2"/>
  <c r="AE217" i="2"/>
  <c r="AE218" i="2"/>
  <c r="AE143" i="2"/>
  <c r="AE219" i="2"/>
  <c r="AE157" i="2"/>
  <c r="AE237" i="2"/>
  <c r="AE171" i="2"/>
  <c r="AE172" i="2"/>
  <c r="AE180" i="2"/>
  <c r="AE242" i="2"/>
  <c r="AE184" i="2"/>
  <c r="AE185" i="2"/>
  <c r="AE187" i="2"/>
  <c r="AE188" i="2"/>
  <c r="AE198" i="2"/>
  <c r="AE246" i="2"/>
  <c r="AE8" i="2"/>
  <c r="AE221" i="2"/>
  <c r="AE17" i="2"/>
  <c r="AE21" i="2"/>
  <c r="AE33" i="2"/>
  <c r="AE222" i="2"/>
  <c r="AE50" i="2"/>
  <c r="AE224" i="2"/>
  <c r="AE136" i="2"/>
  <c r="AE225" i="2"/>
  <c r="AE98" i="2"/>
  <c r="AE106" i="2"/>
  <c r="AE226" i="2"/>
  <c r="AE227" i="2"/>
  <c r="AE122" i="2"/>
  <c r="AE228" i="2"/>
  <c r="AE147" i="2"/>
  <c r="AE229" i="2"/>
  <c r="AE230" i="2"/>
  <c r="AE233" i="2"/>
  <c r="AE156" i="2"/>
  <c r="AE234" i="2"/>
  <c r="AE170" i="2"/>
  <c r="AE197" i="2"/>
  <c r="AK15" i="2"/>
  <c r="AK22" i="2"/>
  <c r="AK51" i="2"/>
  <c r="AK43" i="2"/>
  <c r="AK200" i="2"/>
  <c r="AK11" i="2"/>
  <c r="AK201" i="2"/>
  <c r="AK74" i="2"/>
  <c r="AK202" i="2"/>
  <c r="AK78" i="2"/>
  <c r="AK203" i="2"/>
  <c r="AK86" i="2"/>
  <c r="AK90" i="2"/>
  <c r="AK204" i="2"/>
  <c r="AK114" i="2"/>
  <c r="AK205" i="2"/>
  <c r="AK206" i="2"/>
  <c r="AK207" i="2"/>
  <c r="AK121" i="2"/>
  <c r="AK126" i="2"/>
  <c r="AK132" i="2"/>
  <c r="AK135" i="2"/>
  <c r="AK137" i="2"/>
  <c r="AK208" i="2"/>
  <c r="AK144" i="2"/>
  <c r="AK146" i="2"/>
  <c r="AK133" i="2"/>
  <c r="AK209" i="2"/>
  <c r="AK213" i="2"/>
  <c r="AK210" i="2"/>
  <c r="AK238" i="2"/>
  <c r="AK173" i="2"/>
  <c r="AK174" i="2"/>
  <c r="AK239" i="2"/>
  <c r="AK240" i="2"/>
  <c r="AK191" i="2"/>
  <c r="AK245" i="2"/>
  <c r="AK12" i="2"/>
  <c r="AK214" i="2"/>
  <c r="AK16" i="2"/>
  <c r="AK18" i="2"/>
  <c r="AK215" i="2"/>
  <c r="AK27" i="2"/>
  <c r="AK29" i="2"/>
  <c r="AK41" i="2"/>
  <c r="AK44" i="2"/>
  <c r="AK65" i="2"/>
  <c r="AK69" i="2"/>
  <c r="AK189" i="2"/>
  <c r="AK82" i="2"/>
  <c r="AK84" i="2"/>
  <c r="AK85" i="2"/>
  <c r="AK93" i="2"/>
  <c r="AK99" i="2"/>
  <c r="AK100" i="2"/>
  <c r="AK102" i="2"/>
  <c r="AK216" i="2"/>
  <c r="AK105" i="2"/>
  <c r="AK220" i="2"/>
  <c r="AK217" i="2"/>
  <c r="AK218" i="2"/>
  <c r="AK143" i="2"/>
  <c r="AK219" i="2"/>
  <c r="AK157" i="2"/>
  <c r="AK237" i="2"/>
  <c r="AK171" i="2"/>
  <c r="AK172" i="2"/>
  <c r="AK180" i="2"/>
  <c r="AK242" i="2"/>
  <c r="AK184" i="2"/>
  <c r="AK185" i="2"/>
  <c r="AK187" i="2"/>
  <c r="AK188" i="2"/>
  <c r="AK198" i="2"/>
  <c r="AK246" i="2"/>
  <c r="AK8" i="2"/>
  <c r="AK221" i="2"/>
  <c r="AK17" i="2"/>
  <c r="AK21" i="2"/>
  <c r="AK33" i="2"/>
  <c r="AK222" i="2"/>
  <c r="AK50" i="2"/>
  <c r="AK224" i="2"/>
  <c r="AK136" i="2"/>
  <c r="AK225" i="2"/>
  <c r="AK98" i="2"/>
  <c r="AK106" i="2"/>
  <c r="AK226" i="2"/>
  <c r="AK227" i="2"/>
  <c r="AK122" i="2"/>
  <c r="AK228" i="2"/>
  <c r="AK147" i="2"/>
  <c r="AK229" i="2"/>
  <c r="AK230" i="2"/>
  <c r="AK233" i="2"/>
  <c r="AK156" i="2"/>
  <c r="AK234" i="2"/>
  <c r="AK170" i="2"/>
  <c r="AK197" i="2"/>
  <c r="AQ15" i="2"/>
  <c r="AQ22" i="2"/>
  <c r="AQ51" i="2"/>
  <c r="AQ43" i="2"/>
  <c r="AQ200" i="2"/>
  <c r="AQ11" i="2"/>
  <c r="AQ201" i="2"/>
  <c r="AQ74" i="2"/>
  <c r="AQ202" i="2"/>
  <c r="AQ78" i="2"/>
  <c r="AQ203" i="2"/>
  <c r="AQ86" i="2"/>
  <c r="AQ90" i="2"/>
  <c r="AQ204" i="2"/>
  <c r="AQ114" i="2"/>
  <c r="AQ205" i="2"/>
  <c r="AQ206" i="2"/>
  <c r="AQ207" i="2"/>
  <c r="AQ121" i="2"/>
  <c r="AQ126" i="2"/>
  <c r="AQ132" i="2"/>
  <c r="AQ135" i="2"/>
  <c r="AQ137" i="2"/>
  <c r="AQ208" i="2"/>
  <c r="AQ144" i="2"/>
  <c r="AQ146" i="2"/>
  <c r="AQ133" i="2"/>
  <c r="AQ209" i="2"/>
  <c r="AQ213" i="2"/>
  <c r="AQ210" i="2"/>
  <c r="AQ238" i="2"/>
  <c r="AQ173" i="2"/>
  <c r="AQ174" i="2"/>
  <c r="AQ239" i="2"/>
  <c r="AQ240" i="2"/>
  <c r="AQ191" i="2"/>
  <c r="AQ245" i="2"/>
  <c r="AQ12" i="2"/>
  <c r="AQ214" i="2"/>
  <c r="AQ16" i="2"/>
  <c r="AQ18" i="2"/>
  <c r="AQ215" i="2"/>
  <c r="AQ27" i="2"/>
  <c r="AQ29" i="2"/>
  <c r="AQ41" i="2"/>
  <c r="AQ44" i="2"/>
  <c r="AQ65" i="2"/>
  <c r="AQ69" i="2"/>
  <c r="AQ189" i="2"/>
  <c r="AQ82" i="2"/>
  <c r="AQ84" i="2"/>
  <c r="AQ85" i="2"/>
  <c r="AQ93" i="2"/>
  <c r="AQ99" i="2"/>
  <c r="AQ100" i="2"/>
  <c r="AQ102" i="2"/>
  <c r="AQ216" i="2"/>
  <c r="AQ105" i="2"/>
  <c r="AQ220" i="2"/>
  <c r="AQ217" i="2"/>
  <c r="AQ218" i="2"/>
  <c r="AQ143" i="2"/>
  <c r="AQ219" i="2"/>
  <c r="AQ157" i="2"/>
  <c r="AQ237" i="2"/>
  <c r="AQ171" i="2"/>
  <c r="AQ172" i="2"/>
  <c r="AQ180" i="2"/>
  <c r="AQ242" i="2"/>
  <c r="AQ184" i="2"/>
  <c r="AQ185" i="2"/>
  <c r="AQ187" i="2"/>
  <c r="AQ188" i="2"/>
  <c r="AQ198" i="2"/>
  <c r="AQ246" i="2"/>
  <c r="AQ8" i="2"/>
  <c r="AQ221" i="2"/>
  <c r="AQ17" i="2"/>
  <c r="AQ21" i="2"/>
  <c r="AQ33" i="2"/>
  <c r="AQ222" i="2"/>
  <c r="AQ50" i="2"/>
  <c r="AQ224" i="2"/>
  <c r="AQ136" i="2"/>
  <c r="AQ225" i="2"/>
  <c r="AQ98" i="2"/>
  <c r="AQ106" i="2"/>
  <c r="AQ226" i="2"/>
  <c r="AQ227" i="2"/>
  <c r="AQ122" i="2"/>
  <c r="AQ228" i="2"/>
  <c r="AQ147" i="2"/>
  <c r="AQ229" i="2"/>
  <c r="AQ230" i="2"/>
  <c r="AQ233" i="2"/>
  <c r="AQ156" i="2"/>
  <c r="AQ234" i="2"/>
  <c r="AQ170" i="2"/>
  <c r="AQ197" i="2"/>
  <c r="AW15" i="2"/>
  <c r="AW22" i="2"/>
  <c r="AW51" i="2"/>
  <c r="AW43" i="2"/>
  <c r="AW200" i="2"/>
  <c r="AW11" i="2"/>
  <c r="AW201" i="2"/>
  <c r="AW74" i="2"/>
  <c r="AW202" i="2"/>
  <c r="AW78" i="2"/>
  <c r="AW203" i="2"/>
  <c r="AW86" i="2"/>
  <c r="AW90" i="2"/>
  <c r="AW204" i="2"/>
  <c r="AW114" i="2"/>
  <c r="AW205" i="2"/>
  <c r="AW206" i="2"/>
  <c r="AW207" i="2"/>
  <c r="AW121" i="2"/>
  <c r="AW126" i="2"/>
  <c r="AW132" i="2"/>
  <c r="AW135" i="2"/>
  <c r="AW137" i="2"/>
  <c r="AW208" i="2"/>
  <c r="AW144" i="2"/>
  <c r="AW146" i="2"/>
  <c r="AW133" i="2"/>
  <c r="AW209" i="2"/>
  <c r="AW213" i="2"/>
  <c r="AW210" i="2"/>
  <c r="AW238" i="2"/>
  <c r="AW173" i="2"/>
  <c r="AW174" i="2"/>
  <c r="AW239" i="2"/>
  <c r="AW240" i="2"/>
  <c r="AW191" i="2"/>
  <c r="AW245" i="2"/>
  <c r="AW12" i="2"/>
  <c r="AW214" i="2"/>
  <c r="AW16" i="2"/>
  <c r="AW18" i="2"/>
  <c r="AW215" i="2"/>
  <c r="AW27" i="2"/>
  <c r="AW29" i="2"/>
  <c r="AW41" i="2"/>
  <c r="AW44" i="2"/>
  <c r="AW65" i="2"/>
  <c r="AW69" i="2"/>
  <c r="AW189" i="2"/>
  <c r="AW82" i="2"/>
  <c r="AW84" i="2"/>
  <c r="AW85" i="2"/>
  <c r="AW93" i="2"/>
  <c r="AW99" i="2"/>
  <c r="AW100" i="2"/>
  <c r="AW102" i="2"/>
  <c r="AW216" i="2"/>
  <c r="AW105" i="2"/>
  <c r="AW220" i="2"/>
  <c r="AW217" i="2"/>
  <c r="AW218" i="2"/>
  <c r="AW143" i="2"/>
  <c r="AW219" i="2"/>
  <c r="AW157" i="2"/>
  <c r="AW237" i="2"/>
  <c r="AW171" i="2"/>
  <c r="AW172" i="2"/>
  <c r="AW180" i="2"/>
  <c r="AW242" i="2"/>
  <c r="AW184" i="2"/>
  <c r="AW185" i="2"/>
  <c r="AW187" i="2"/>
  <c r="AW188" i="2"/>
  <c r="AW198" i="2"/>
  <c r="AW246" i="2"/>
  <c r="AW8" i="2"/>
  <c r="AW221" i="2"/>
  <c r="AW17" i="2"/>
  <c r="AW21" i="2"/>
  <c r="AW33" i="2"/>
  <c r="AW222" i="2"/>
  <c r="AW50" i="2"/>
  <c r="AW224" i="2"/>
  <c r="AW136" i="2"/>
  <c r="AW225" i="2"/>
  <c r="AW98" i="2"/>
  <c r="AW106" i="2"/>
  <c r="AW226" i="2"/>
  <c r="AW227" i="2"/>
  <c r="AW122" i="2"/>
  <c r="AW228" i="2"/>
  <c r="AW147" i="2"/>
  <c r="AW229" i="2"/>
  <c r="AW230" i="2"/>
  <c r="AW233" i="2"/>
  <c r="AW156" i="2"/>
  <c r="AW234" i="2"/>
  <c r="AW170" i="2"/>
  <c r="AW197" i="2"/>
  <c r="BC15" i="2"/>
  <c r="BC22" i="2"/>
  <c r="BC51" i="2"/>
  <c r="BC43" i="2"/>
  <c r="BC200" i="2"/>
  <c r="BC11" i="2"/>
  <c r="BC201" i="2"/>
  <c r="BC74" i="2"/>
  <c r="BC202" i="2"/>
  <c r="BC78" i="2"/>
  <c r="BC203" i="2"/>
  <c r="BC86" i="2"/>
  <c r="BC90" i="2"/>
  <c r="BC204" i="2"/>
  <c r="BC114" i="2"/>
  <c r="BC205" i="2"/>
  <c r="BC206" i="2"/>
  <c r="BC207" i="2"/>
  <c r="BC121" i="2"/>
  <c r="BC126" i="2"/>
  <c r="BC132" i="2"/>
  <c r="BC135" i="2"/>
  <c r="BC137" i="2"/>
  <c r="BC208" i="2"/>
  <c r="BC144" i="2"/>
  <c r="BC146" i="2"/>
  <c r="BC133" i="2"/>
  <c r="BC209" i="2"/>
  <c r="BC213" i="2"/>
  <c r="BC210" i="2"/>
  <c r="BC238" i="2"/>
  <c r="BC173" i="2"/>
  <c r="BC174" i="2"/>
  <c r="BC239" i="2"/>
  <c r="BC240" i="2"/>
  <c r="BC191" i="2"/>
  <c r="BC245" i="2"/>
  <c r="BC12" i="2"/>
  <c r="BC214" i="2"/>
  <c r="BC16" i="2"/>
  <c r="BC18" i="2"/>
  <c r="BC215" i="2"/>
  <c r="BC27" i="2"/>
  <c r="BC29" i="2"/>
  <c r="BC41" i="2"/>
  <c r="BC44" i="2"/>
  <c r="BC65" i="2"/>
  <c r="BC69" i="2"/>
  <c r="BC189" i="2"/>
  <c r="BC82" i="2"/>
  <c r="BC84" i="2"/>
  <c r="BC85" i="2"/>
  <c r="BC93" i="2"/>
  <c r="BC99" i="2"/>
  <c r="BC100" i="2"/>
  <c r="BC102" i="2"/>
  <c r="BC216" i="2"/>
  <c r="BC105" i="2"/>
  <c r="BC220" i="2"/>
  <c r="BC217" i="2"/>
  <c r="BC218" i="2"/>
  <c r="BC143" i="2"/>
  <c r="BC219" i="2"/>
  <c r="BC157" i="2"/>
  <c r="BC237" i="2"/>
  <c r="BC171" i="2"/>
  <c r="BC172" i="2"/>
  <c r="BC180" i="2"/>
  <c r="BC242" i="2"/>
  <c r="BC184" i="2"/>
  <c r="BC185" i="2"/>
  <c r="BC187" i="2"/>
  <c r="BC188" i="2"/>
  <c r="BC198" i="2"/>
  <c r="BC246" i="2"/>
  <c r="BC8" i="2"/>
  <c r="BC221" i="2"/>
  <c r="BC17" i="2"/>
  <c r="BC21" i="2"/>
  <c r="BC33" i="2"/>
  <c r="BC222" i="2"/>
  <c r="BC50" i="2"/>
  <c r="BC224" i="2"/>
  <c r="BC136" i="2"/>
  <c r="BC225" i="2"/>
  <c r="BC98" i="2"/>
  <c r="BC106" i="2"/>
  <c r="BC226" i="2"/>
  <c r="BC227" i="2"/>
  <c r="BC122" i="2"/>
  <c r="BC228" i="2"/>
  <c r="BC147" i="2"/>
  <c r="BC229" i="2"/>
  <c r="BC230" i="2"/>
  <c r="BC233" i="2"/>
  <c r="BC156" i="2"/>
  <c r="BC234" i="2"/>
  <c r="BC170" i="2"/>
  <c r="BC197" i="2"/>
  <c r="BI15" i="2"/>
  <c r="BI22" i="2"/>
  <c r="BI51" i="2"/>
  <c r="BI43" i="2"/>
  <c r="BI200" i="2"/>
  <c r="BI11" i="2"/>
  <c r="BI201" i="2"/>
  <c r="BI74" i="2"/>
  <c r="BI202" i="2"/>
  <c r="BI78" i="2"/>
  <c r="BI203" i="2"/>
  <c r="BI86" i="2"/>
  <c r="BI90" i="2"/>
  <c r="BI204" i="2"/>
  <c r="BI114" i="2"/>
  <c r="BI205" i="2"/>
  <c r="BI206" i="2"/>
  <c r="BI207" i="2"/>
  <c r="BI121" i="2"/>
  <c r="BI126" i="2"/>
  <c r="BI132" i="2"/>
  <c r="BI135" i="2"/>
  <c r="BI137" i="2"/>
  <c r="BI208" i="2"/>
  <c r="BI144" i="2"/>
  <c r="BI146" i="2"/>
  <c r="BI133" i="2"/>
  <c r="BI209" i="2"/>
  <c r="BI213" i="2"/>
  <c r="BI210" i="2"/>
  <c r="BI238" i="2"/>
  <c r="BI173" i="2"/>
  <c r="BI174" i="2"/>
  <c r="BI239" i="2"/>
  <c r="BI240" i="2"/>
  <c r="BI191" i="2"/>
  <c r="BI245" i="2"/>
  <c r="BI12" i="2"/>
  <c r="BI214" i="2"/>
  <c r="BI16" i="2"/>
  <c r="BI18" i="2"/>
  <c r="BI215" i="2"/>
  <c r="BI27" i="2"/>
  <c r="BI29" i="2"/>
  <c r="BI41" i="2"/>
  <c r="BI44" i="2"/>
  <c r="BI65" i="2"/>
  <c r="BI69" i="2"/>
  <c r="BI189" i="2"/>
  <c r="BI82" i="2"/>
  <c r="BI84" i="2"/>
  <c r="BI85" i="2"/>
  <c r="BI93" i="2"/>
  <c r="BI99" i="2"/>
  <c r="BI100" i="2"/>
  <c r="BI102" i="2"/>
  <c r="BI216" i="2"/>
  <c r="BI105" i="2"/>
  <c r="BI220" i="2"/>
  <c r="BI217" i="2"/>
  <c r="BI218" i="2"/>
  <c r="BI143" i="2"/>
  <c r="BI219" i="2"/>
  <c r="BI157" i="2"/>
  <c r="BI237" i="2"/>
  <c r="BI171" i="2"/>
  <c r="BI172" i="2"/>
  <c r="BI180" i="2"/>
  <c r="BI242" i="2"/>
  <c r="BI184" i="2"/>
  <c r="BI185" i="2"/>
  <c r="BI187" i="2"/>
  <c r="BI188" i="2"/>
  <c r="BI198" i="2"/>
  <c r="BI246" i="2"/>
  <c r="BI8" i="2"/>
  <c r="BI221" i="2"/>
  <c r="BI17" i="2"/>
  <c r="BI21" i="2"/>
  <c r="BI33" i="2"/>
  <c r="BI222" i="2"/>
  <c r="BI50" i="2"/>
  <c r="BI224" i="2"/>
  <c r="BI136" i="2"/>
  <c r="BI225" i="2"/>
  <c r="BI98" i="2"/>
  <c r="BI106" i="2"/>
  <c r="BI226" i="2"/>
  <c r="BI227" i="2"/>
  <c r="BI122" i="2"/>
  <c r="BI228" i="2"/>
  <c r="BI147" i="2"/>
  <c r="BI229" i="2"/>
  <c r="BI230" i="2"/>
  <c r="BI233" i="2"/>
  <c r="BI156" i="2"/>
  <c r="BI234" i="2"/>
  <c r="BI170" i="2"/>
  <c r="BI197" i="2"/>
  <c r="BO15" i="2"/>
  <c r="BO22" i="2"/>
  <c r="BO51" i="2"/>
  <c r="BO43" i="2"/>
  <c r="BO200" i="2"/>
  <c r="BO11" i="2"/>
  <c r="BO201" i="2"/>
  <c r="BO74" i="2"/>
  <c r="BO202" i="2"/>
  <c r="BO78" i="2"/>
  <c r="BO203" i="2"/>
  <c r="BO86" i="2"/>
  <c r="BO90" i="2"/>
  <c r="BO204" i="2"/>
  <c r="BO114" i="2"/>
  <c r="BO205" i="2"/>
  <c r="BO206" i="2"/>
  <c r="BO207" i="2"/>
  <c r="BO121" i="2"/>
  <c r="BO126" i="2"/>
  <c r="BO132" i="2"/>
  <c r="BO135" i="2"/>
  <c r="BO137" i="2"/>
  <c r="BO208" i="2"/>
  <c r="BO144" i="2"/>
  <c r="BO146" i="2"/>
  <c r="BO133" i="2"/>
  <c r="BO209" i="2"/>
  <c r="BO213" i="2"/>
  <c r="BO210" i="2"/>
  <c r="BO238" i="2"/>
  <c r="BO173" i="2"/>
  <c r="BO174" i="2"/>
  <c r="BO239" i="2"/>
  <c r="BO240" i="2"/>
  <c r="BO191" i="2"/>
  <c r="BO245" i="2"/>
  <c r="BO12" i="2"/>
  <c r="BO214" i="2"/>
  <c r="BO16" i="2"/>
  <c r="BO18" i="2"/>
  <c r="BO215" i="2"/>
  <c r="BO27" i="2"/>
  <c r="BO29" i="2"/>
  <c r="BO41" i="2"/>
  <c r="BO44" i="2"/>
  <c r="BO65" i="2"/>
  <c r="BO69" i="2"/>
  <c r="BO189" i="2"/>
  <c r="BO82" i="2"/>
  <c r="BO84" i="2"/>
  <c r="BO85" i="2"/>
  <c r="BO93" i="2"/>
  <c r="BO99" i="2"/>
  <c r="BO100" i="2"/>
  <c r="BO102" i="2"/>
  <c r="BO216" i="2"/>
  <c r="BO105" i="2"/>
  <c r="BO220" i="2"/>
  <c r="BO217" i="2"/>
  <c r="BO218" i="2"/>
  <c r="BO143" i="2"/>
  <c r="BO219" i="2"/>
  <c r="BO157" i="2"/>
  <c r="BO237" i="2"/>
  <c r="BO171" i="2"/>
  <c r="BO172" i="2"/>
  <c r="BO180" i="2"/>
  <c r="BO242" i="2"/>
  <c r="BO184" i="2"/>
  <c r="BO185" i="2"/>
  <c r="BO187" i="2"/>
  <c r="BO188" i="2"/>
  <c r="BO198" i="2"/>
  <c r="BO246" i="2"/>
  <c r="BO8" i="2"/>
  <c r="BO221" i="2"/>
  <c r="BO17" i="2"/>
  <c r="BO21" i="2"/>
  <c r="BO33" i="2"/>
  <c r="BO222" i="2"/>
  <c r="BO50" i="2"/>
  <c r="BO224" i="2"/>
  <c r="BO136" i="2"/>
  <c r="BO225" i="2"/>
  <c r="BO98" i="2"/>
  <c r="BO106" i="2"/>
  <c r="BO226" i="2"/>
  <c r="BO227" i="2"/>
  <c r="BO122" i="2"/>
  <c r="BO228" i="2"/>
  <c r="BO147" i="2"/>
  <c r="BO229" i="2"/>
  <c r="BO230" i="2"/>
  <c r="BO233" i="2"/>
  <c r="BO156" i="2"/>
  <c r="BO234" i="2"/>
  <c r="BO170" i="2"/>
  <c r="BO197" i="2"/>
  <c r="BU15" i="2"/>
  <c r="BU22" i="2"/>
  <c r="BU51" i="2"/>
  <c r="BU43" i="2"/>
  <c r="BU200" i="2"/>
  <c r="BU11" i="2"/>
  <c r="BU201" i="2"/>
  <c r="BU74" i="2"/>
  <c r="BU202" i="2"/>
  <c r="BU78" i="2"/>
  <c r="BU203" i="2"/>
  <c r="BU86" i="2"/>
  <c r="BU90" i="2"/>
  <c r="BU204" i="2"/>
  <c r="BU114" i="2"/>
  <c r="BU205" i="2"/>
  <c r="BU206" i="2"/>
  <c r="BU207" i="2"/>
  <c r="BU121" i="2"/>
  <c r="BU126" i="2"/>
  <c r="BU132" i="2"/>
  <c r="BU135" i="2"/>
  <c r="BU137" i="2"/>
  <c r="BU208" i="2"/>
  <c r="BU144" i="2"/>
  <c r="BU146" i="2"/>
  <c r="BU133" i="2"/>
  <c r="BU209" i="2"/>
  <c r="BU213" i="2"/>
  <c r="BU210" i="2"/>
  <c r="BU238" i="2"/>
  <c r="BU173" i="2"/>
  <c r="BU174" i="2"/>
  <c r="BU239" i="2"/>
  <c r="BU240" i="2"/>
  <c r="BU191" i="2"/>
  <c r="BU245" i="2"/>
  <c r="BU12" i="2"/>
  <c r="BU214" i="2"/>
  <c r="BU16" i="2"/>
  <c r="BU18" i="2"/>
  <c r="BU215" i="2"/>
  <c r="BU27" i="2"/>
  <c r="BU29" i="2"/>
  <c r="BU41" i="2"/>
  <c r="BU44" i="2"/>
  <c r="BU65" i="2"/>
  <c r="BU69" i="2"/>
  <c r="BU189" i="2"/>
  <c r="BU82" i="2"/>
  <c r="BU84" i="2"/>
  <c r="BU85" i="2"/>
  <c r="BU93" i="2"/>
  <c r="BU99" i="2"/>
  <c r="BU100" i="2"/>
  <c r="BU102" i="2"/>
  <c r="BU216" i="2"/>
  <c r="BU105" i="2"/>
  <c r="BU220" i="2"/>
  <c r="BU217" i="2"/>
  <c r="BU218" i="2"/>
  <c r="BU143" i="2"/>
  <c r="BU219" i="2"/>
  <c r="BU157" i="2"/>
  <c r="BU237" i="2"/>
  <c r="BU171" i="2"/>
  <c r="BU172" i="2"/>
  <c r="BU180" i="2"/>
  <c r="BU242" i="2"/>
  <c r="BU184" i="2"/>
  <c r="BU185" i="2"/>
  <c r="BU187" i="2"/>
  <c r="BU188" i="2"/>
  <c r="BU198" i="2"/>
  <c r="BU246" i="2"/>
  <c r="BU8" i="2"/>
  <c r="BU221" i="2"/>
  <c r="BU17" i="2"/>
  <c r="BU21" i="2"/>
  <c r="BU33" i="2"/>
  <c r="BU222" i="2"/>
  <c r="BU50" i="2"/>
  <c r="BU224" i="2"/>
  <c r="BU136" i="2"/>
  <c r="BU225" i="2"/>
  <c r="BU98" i="2"/>
  <c r="BU106" i="2"/>
  <c r="BU226" i="2"/>
  <c r="BU227" i="2"/>
  <c r="BU122" i="2"/>
  <c r="BU228" i="2"/>
  <c r="BU147" i="2"/>
  <c r="BU229" i="2"/>
  <c r="BU230" i="2"/>
  <c r="BU233" i="2"/>
  <c r="BU156" i="2"/>
  <c r="BU234" i="2"/>
  <c r="BU170" i="2"/>
  <c r="BU197" i="2"/>
  <c r="BU13" i="2"/>
  <c r="BO13" i="2"/>
  <c r="BI13" i="2"/>
  <c r="BC13" i="2"/>
  <c r="AW13" i="2"/>
  <c r="AQ13" i="2"/>
  <c r="AK13" i="2"/>
  <c r="AE13" i="2"/>
  <c r="Y13" i="2"/>
  <c r="S13" i="2"/>
  <c r="K15" i="2"/>
  <c r="K22" i="2"/>
  <c r="K51" i="2"/>
  <c r="K43" i="2"/>
  <c r="K200" i="2"/>
  <c r="K11" i="2"/>
  <c r="K201" i="2"/>
  <c r="K74" i="2"/>
  <c r="K202" i="2"/>
  <c r="K78" i="2"/>
  <c r="K203" i="2"/>
  <c r="K86" i="2"/>
  <c r="K90" i="2"/>
  <c r="K204" i="2"/>
  <c r="K114" i="2"/>
  <c r="K205" i="2"/>
  <c r="K206" i="2"/>
  <c r="K207" i="2"/>
  <c r="K121" i="2"/>
  <c r="K126" i="2"/>
  <c r="K132" i="2"/>
  <c r="K135" i="2"/>
  <c r="K137" i="2"/>
  <c r="K208" i="2"/>
  <c r="K144" i="2"/>
  <c r="K146" i="2"/>
  <c r="K133" i="2"/>
  <c r="K209" i="2"/>
  <c r="K213" i="2"/>
  <c r="K210" i="2"/>
  <c r="K238" i="2"/>
  <c r="K173" i="2"/>
  <c r="K174" i="2"/>
  <c r="K239" i="2"/>
  <c r="K240" i="2"/>
  <c r="K191" i="2"/>
  <c r="K245" i="2"/>
  <c r="K12" i="2"/>
  <c r="K214" i="2"/>
  <c r="K16" i="2"/>
  <c r="K18" i="2"/>
  <c r="K215" i="2"/>
  <c r="K27" i="2"/>
  <c r="K29" i="2"/>
  <c r="K41" i="2"/>
  <c r="K44" i="2"/>
  <c r="K65" i="2"/>
  <c r="K69" i="2"/>
  <c r="K189" i="2"/>
  <c r="K82" i="2"/>
  <c r="K84" i="2"/>
  <c r="K85" i="2"/>
  <c r="K93" i="2"/>
  <c r="K99" i="2"/>
  <c r="K100" i="2"/>
  <c r="K102" i="2"/>
  <c r="K216" i="2"/>
  <c r="K105" i="2"/>
  <c r="K220" i="2"/>
  <c r="K217" i="2"/>
  <c r="K218" i="2"/>
  <c r="K143" i="2"/>
  <c r="K219" i="2"/>
  <c r="K157" i="2"/>
  <c r="K237" i="2"/>
  <c r="K171" i="2"/>
  <c r="K172" i="2"/>
  <c r="K180" i="2"/>
  <c r="K242" i="2"/>
  <c r="K184" i="2"/>
  <c r="K185" i="2"/>
  <c r="K187" i="2"/>
  <c r="K188" i="2"/>
  <c r="K198" i="2"/>
  <c r="K246" i="2"/>
  <c r="K8" i="2"/>
  <c r="K221" i="2"/>
  <c r="K17" i="2"/>
  <c r="K21" i="2"/>
  <c r="K33" i="2"/>
  <c r="K222" i="2"/>
  <c r="K50" i="2"/>
  <c r="K224" i="2"/>
  <c r="K136" i="2"/>
  <c r="K225" i="2"/>
  <c r="K98" i="2"/>
  <c r="K106" i="2"/>
  <c r="K226" i="2"/>
  <c r="K227" i="2"/>
  <c r="K122" i="2"/>
  <c r="K228" i="2"/>
  <c r="K147" i="2"/>
  <c r="K229" i="2"/>
  <c r="K230" i="2"/>
  <c r="K233" i="2"/>
  <c r="K156" i="2"/>
  <c r="K234" i="2"/>
  <c r="K170" i="2"/>
  <c r="K197" i="2"/>
  <c r="K13" i="2"/>
  <c r="L72" i="2" l="1"/>
  <c r="H72" i="2" s="1"/>
  <c r="L233" i="2"/>
  <c r="L228" i="2"/>
  <c r="L106" i="2"/>
  <c r="L224" i="2"/>
  <c r="L246" i="2"/>
  <c r="L185" i="2"/>
  <c r="L172" i="2"/>
  <c r="L219" i="2"/>
  <c r="L220" i="2"/>
  <c r="L100" i="2"/>
  <c r="L84" i="2"/>
  <c r="L65" i="2"/>
  <c r="L27" i="2"/>
  <c r="L214" i="2"/>
  <c r="L240" i="2"/>
  <c r="L238" i="2"/>
  <c r="L133" i="2"/>
  <c r="L137" i="2"/>
  <c r="L121" i="2"/>
  <c r="L114" i="2"/>
  <c r="L203" i="2"/>
  <c r="L201" i="2"/>
  <c r="L247" i="2"/>
  <c r="CB247" i="2" s="1"/>
  <c r="CC247" i="2" s="1"/>
  <c r="L177" i="2"/>
  <c r="L155" i="2"/>
  <c r="L95" i="2"/>
  <c r="L59" i="2"/>
  <c r="L122" i="2"/>
  <c r="L50" i="2"/>
  <c r="L198" i="2"/>
  <c r="L171" i="2"/>
  <c r="L105" i="2"/>
  <c r="L82" i="2"/>
  <c r="L215" i="2"/>
  <c r="L239" i="2"/>
  <c r="L146" i="2"/>
  <c r="L207" i="2"/>
  <c r="L78" i="2"/>
  <c r="L22" i="2"/>
  <c r="L235" i="2"/>
  <c r="L6" i="2"/>
  <c r="L127" i="2"/>
  <c r="L70" i="2"/>
  <c r="L48" i="2"/>
  <c r="L182" i="2"/>
  <c r="L141" i="2"/>
  <c r="L197" i="2"/>
  <c r="L51" i="2"/>
  <c r="L230" i="2"/>
  <c r="L98" i="2"/>
  <c r="L17" i="2"/>
  <c r="L184" i="2"/>
  <c r="L143" i="2"/>
  <c r="L99" i="2"/>
  <c r="L44" i="2"/>
  <c r="L12" i="2"/>
  <c r="L210" i="2"/>
  <c r="L135" i="2"/>
  <c r="L204" i="2"/>
  <c r="L11" i="2"/>
  <c r="L176" i="2"/>
  <c r="L148" i="2"/>
  <c r="L211" i="2"/>
  <c r="L193" i="2"/>
  <c r="L186" i="2"/>
  <c r="L241" i="2"/>
  <c r="L192" i="2"/>
  <c r="L118" i="2"/>
  <c r="L77" i="2"/>
  <c r="L243" i="2"/>
  <c r="L96" i="2"/>
  <c r="L101" i="2"/>
  <c r="L73" i="2"/>
  <c r="L76" i="2"/>
  <c r="L153" i="2"/>
  <c r="L83" i="2"/>
  <c r="L64" i="2"/>
  <c r="L75" i="2"/>
  <c r="L91" i="2"/>
  <c r="L231" i="2"/>
  <c r="L119" i="2"/>
  <c r="L234" i="2"/>
  <c r="L227" i="2"/>
  <c r="L222" i="2"/>
  <c r="L188" i="2"/>
  <c r="L237" i="2"/>
  <c r="L218" i="2"/>
  <c r="L216" i="2"/>
  <c r="L93" i="2"/>
  <c r="L189" i="2"/>
  <c r="L41" i="2"/>
  <c r="L18" i="2"/>
  <c r="L174" i="2"/>
  <c r="L213" i="2"/>
  <c r="L144" i="2"/>
  <c r="L132" i="2"/>
  <c r="L206" i="2"/>
  <c r="L90" i="2"/>
  <c r="L202" i="2"/>
  <c r="L200" i="2"/>
  <c r="L15" i="2"/>
  <c r="L134" i="2"/>
  <c r="L68" i="2"/>
  <c r="L56" i="2"/>
  <c r="L229" i="2"/>
  <c r="L225" i="2"/>
  <c r="L221" i="2"/>
  <c r="L242" i="2"/>
  <c r="L245" i="2"/>
  <c r="L13" i="2"/>
  <c r="L156" i="2"/>
  <c r="L147" i="2"/>
  <c r="L226" i="2"/>
  <c r="L136" i="2"/>
  <c r="L33" i="2"/>
  <c r="L8" i="2"/>
  <c r="L187" i="2"/>
  <c r="L180" i="2"/>
  <c r="L157" i="2"/>
  <c r="L217" i="2"/>
  <c r="L102" i="2"/>
  <c r="L85" i="2"/>
  <c r="L69" i="2"/>
  <c r="L29" i="2"/>
  <c r="L16" i="2"/>
  <c r="L191" i="2"/>
  <c r="L173" i="2"/>
  <c r="L209" i="2"/>
  <c r="L208" i="2"/>
  <c r="L126" i="2"/>
  <c r="L205" i="2"/>
  <c r="L86" i="2"/>
  <c r="L74" i="2"/>
  <c r="L43" i="2"/>
  <c r="L40" i="2"/>
  <c r="L87" i="2"/>
  <c r="L161" i="2"/>
  <c r="L129" i="2"/>
  <c r="L7" i="2"/>
  <c r="L57" i="2"/>
  <c r="L244" i="2"/>
  <c r="L49" i="2"/>
  <c r="L151" i="2"/>
  <c r="L128" i="2"/>
  <c r="L154" i="2"/>
  <c r="L196" i="2"/>
  <c r="L79" i="2"/>
  <c r="L53" i="2"/>
  <c r="L47" i="2"/>
  <c r="L14" i="2"/>
  <c r="L60" i="2"/>
  <c r="L236" i="2"/>
  <c r="L42" i="2"/>
  <c r="L199" i="2"/>
  <c r="L165" i="2"/>
  <c r="L80" i="2"/>
  <c r="L130" i="2"/>
  <c r="L58" i="2"/>
  <c r="L232" i="2"/>
  <c r="L55" i="2"/>
  <c r="C396" i="5"/>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L5" i="2"/>
  <c r="H66" i="9" l="1"/>
  <c r="H67" i="9"/>
  <c r="H247" i="2"/>
  <c r="BV247" i="2" s="1"/>
  <c r="BX247" i="2" s="1"/>
  <c r="BY247" i="2" s="1"/>
  <c r="CO247" i="2"/>
  <c r="CQ247" i="2"/>
  <c r="CP247" i="2"/>
  <c r="CR247" i="2"/>
  <c r="CS247" i="2"/>
  <c r="CB241" i="2"/>
  <c r="CC241" i="2" s="1"/>
  <c r="CQ241" i="2" s="1"/>
  <c r="CB222" i="2"/>
  <c r="CC222" i="2" s="1"/>
  <c r="CQ222" i="2" s="1"/>
  <c r="CB240" i="2"/>
  <c r="CC240" i="2" s="1"/>
  <c r="CO240" i="2" s="1"/>
  <c r="CB244" i="2"/>
  <c r="CC244" i="2" s="1"/>
  <c r="CO244" i="2" s="1"/>
  <c r="CB237" i="2"/>
  <c r="CC237" i="2" s="1"/>
  <c r="CS237" i="2" s="1"/>
  <c r="CB228" i="2"/>
  <c r="CC228" i="2" s="1"/>
  <c r="CP228" i="2" s="1"/>
  <c r="CB243" i="2"/>
  <c r="CC243" i="2" s="1"/>
  <c r="CR243" i="2" s="1"/>
  <c r="CB234" i="2"/>
  <c r="CC234" i="2" s="1"/>
  <c r="CS234" i="2" s="1"/>
  <c r="CB246" i="2"/>
  <c r="CC246" i="2" s="1"/>
  <c r="CS246" i="2" s="1"/>
  <c r="CB225" i="2"/>
  <c r="CC225" i="2" s="1"/>
  <c r="CP225" i="2" s="1"/>
  <c r="CB232" i="2"/>
  <c r="CC232" i="2" s="1"/>
  <c r="CQ232" i="2" s="1"/>
  <c r="CB223" i="2"/>
  <c r="CC223" i="2" s="1"/>
  <c r="CP223" i="2" s="1"/>
  <c r="CB224" i="2"/>
  <c r="CC224" i="2" s="1"/>
  <c r="CB238" i="2"/>
  <c r="CC238" i="2" s="1"/>
  <c r="CP238" i="2" s="1"/>
  <c r="CB239" i="2"/>
  <c r="CC239" i="2" s="1"/>
  <c r="CB229" i="2"/>
  <c r="CC229" i="2" s="1"/>
  <c r="CP229" i="2" s="1"/>
  <c r="CB242" i="2"/>
  <c r="CC242" i="2" s="1"/>
  <c r="CQ242" i="2" s="1"/>
  <c r="CB235" i="2"/>
  <c r="CC235" i="2" s="1"/>
  <c r="CO235" i="2" s="1"/>
  <c r="CB226" i="2"/>
  <c r="CC226" i="2" s="1"/>
  <c r="CO226" i="2" s="1"/>
  <c r="CB227" i="2"/>
  <c r="CC227" i="2" s="1"/>
  <c r="CB230" i="2"/>
  <c r="CC230" i="2" s="1"/>
  <c r="CO230" i="2" s="1"/>
  <c r="CB220" i="2"/>
  <c r="CC220" i="2" s="1"/>
  <c r="CO220" i="2" s="1"/>
  <c r="CB221" i="2"/>
  <c r="CC221" i="2" s="1"/>
  <c r="CB233" i="2"/>
  <c r="CC233" i="2" s="1"/>
  <c r="CS233" i="2" s="1"/>
  <c r="CB231" i="2"/>
  <c r="CC231" i="2" s="1"/>
  <c r="CS231" i="2" s="1"/>
  <c r="CB236" i="2"/>
  <c r="CC236" i="2" s="1"/>
  <c r="CR236" i="2" s="1"/>
  <c r="CB245" i="2"/>
  <c r="CC245" i="2" s="1"/>
  <c r="CB218" i="2"/>
  <c r="CC218" i="2" s="1"/>
  <c r="CB219" i="2"/>
  <c r="CC219" i="2" s="1"/>
  <c r="CB110" i="2"/>
  <c r="CB109" i="2"/>
  <c r="CB180" i="2"/>
  <c r="CB216" i="2"/>
  <c r="CC216" i="2" s="1"/>
  <c r="CB217" i="2"/>
  <c r="CC217" i="2" s="1"/>
  <c r="CB108" i="2"/>
  <c r="CB199" i="2"/>
  <c r="CC199" i="2" s="1"/>
  <c r="CB176" i="2"/>
  <c r="CB185" i="2"/>
  <c r="CC185" i="2" s="1"/>
  <c r="CB190" i="2"/>
  <c r="CC190" i="2" s="1"/>
  <c r="CB215" i="2"/>
  <c r="CC215" i="2" s="1"/>
  <c r="CB205" i="2"/>
  <c r="CC205" i="2" s="1"/>
  <c r="CB183" i="2"/>
  <c r="CB207" i="2"/>
  <c r="CC207" i="2" s="1"/>
  <c r="CB181" i="2"/>
  <c r="CB172" i="2"/>
  <c r="CB202" i="2"/>
  <c r="CC202" i="2" s="1"/>
  <c r="CB197" i="2"/>
  <c r="CC197" i="2" s="1"/>
  <c r="CB200" i="2"/>
  <c r="CC200" i="2" s="1"/>
  <c r="CB203" i="2"/>
  <c r="CC203" i="2" s="1"/>
  <c r="CB177" i="2"/>
  <c r="CB210" i="2"/>
  <c r="CC210" i="2" s="1"/>
  <c r="CB214" i="2"/>
  <c r="CC214" i="2" s="1"/>
  <c r="CB157" i="2"/>
  <c r="CB189" i="2"/>
  <c r="CC189" i="2" s="1"/>
  <c r="CB209" i="2"/>
  <c r="CC209" i="2" s="1"/>
  <c r="CB213" i="2"/>
  <c r="CC213" i="2" s="1"/>
  <c r="CB201" i="2"/>
  <c r="CC201" i="2" s="1"/>
  <c r="CB171" i="2"/>
  <c r="CB175" i="2"/>
  <c r="CB182" i="2"/>
  <c r="CB186" i="2"/>
  <c r="CC186" i="2" s="1"/>
  <c r="CB191" i="2"/>
  <c r="CC191" i="2" s="1"/>
  <c r="CB195" i="2"/>
  <c r="CC195" i="2" s="1"/>
  <c r="CB188" i="2"/>
  <c r="CC188" i="2" s="1"/>
  <c r="CB143" i="2"/>
  <c r="CB206" i="2"/>
  <c r="CC206" i="2" s="1"/>
  <c r="CB187" i="2"/>
  <c r="CC187" i="2" s="1"/>
  <c r="CB208" i="2"/>
  <c r="CC208" i="2" s="1"/>
  <c r="CB212" i="2"/>
  <c r="CC212" i="2" s="1"/>
  <c r="CB138" i="2"/>
  <c r="CB168" i="2"/>
  <c r="CB135" i="2"/>
  <c r="CB136" i="2"/>
  <c r="CB61" i="2"/>
  <c r="CB141" i="2"/>
  <c r="CB144" i="2"/>
  <c r="CB64" i="2"/>
  <c r="CB99" i="2"/>
  <c r="CB49" i="2"/>
  <c r="CB123" i="2"/>
  <c r="CB76" i="2"/>
  <c r="CB204" i="2"/>
  <c r="CC204" i="2" s="1"/>
  <c r="CB173" i="2"/>
  <c r="CB198" i="2"/>
  <c r="CC198" i="2" s="1"/>
  <c r="H202" i="2"/>
  <c r="BV202" i="2" s="1"/>
  <c r="BX202" i="2" s="1"/>
  <c r="BY202" i="2" s="1"/>
  <c r="CB77" i="2"/>
  <c r="CB165" i="2"/>
  <c r="CB107" i="2"/>
  <c r="CB194" i="2"/>
  <c r="CC194" i="2" s="1"/>
  <c r="H220" i="2"/>
  <c r="BV220" i="2" s="1"/>
  <c r="BX220" i="2" s="1"/>
  <c r="BY220" i="2" s="1"/>
  <c r="H228" i="2"/>
  <c r="BV228" i="2" s="1"/>
  <c r="BX228" i="2" s="1"/>
  <c r="BY228" i="2" s="1"/>
  <c r="CB39" i="2"/>
  <c r="H217" i="2"/>
  <c r="BV217" i="2" s="1"/>
  <c r="BX217" i="2" s="1"/>
  <c r="BY217" i="2" s="1"/>
  <c r="CB147" i="2"/>
  <c r="CB148" i="2"/>
  <c r="CB114" i="2"/>
  <c r="H242" i="2"/>
  <c r="BV242" i="2" s="1"/>
  <c r="BX242" i="2" s="1"/>
  <c r="BY242" i="2" s="1"/>
  <c r="CB67" i="2"/>
  <c r="H22" i="2"/>
  <c r="BV22" i="2" s="1"/>
  <c r="BX22" i="2" s="1"/>
  <c r="BY22" i="2" s="1"/>
  <c r="CB45" i="2"/>
  <c r="H231" i="2"/>
  <c r="BV231" i="2" s="1"/>
  <c r="BX231" i="2" s="1"/>
  <c r="BY231" i="2" s="1"/>
  <c r="CB40" i="2"/>
  <c r="H205" i="2"/>
  <c r="BV205" i="2" s="1"/>
  <c r="BX205" i="2" s="1"/>
  <c r="BY205" i="2" s="1"/>
  <c r="CB53" i="2"/>
  <c r="H211" i="2"/>
  <c r="BV211" i="2" s="1"/>
  <c r="BX211" i="2" s="1"/>
  <c r="BY211" i="2" s="1"/>
  <c r="CB7" i="2"/>
  <c r="CB8" i="2"/>
  <c r="CB87" i="2"/>
  <c r="H204" i="2"/>
  <c r="BV204" i="2" s="1"/>
  <c r="BX204" i="2" s="1"/>
  <c r="BY204" i="2" s="1"/>
  <c r="CB122" i="2"/>
  <c r="H213" i="2"/>
  <c r="BV213" i="2" s="1"/>
  <c r="BX213" i="2" s="1"/>
  <c r="BY213" i="2" s="1"/>
  <c r="CB58" i="2"/>
  <c r="H238" i="2"/>
  <c r="BV238" i="2" s="1"/>
  <c r="BX238" i="2" s="1"/>
  <c r="BY238" i="2" s="1"/>
  <c r="H219" i="2"/>
  <c r="BV219" i="2" s="1"/>
  <c r="BX219" i="2" s="1"/>
  <c r="BY219" i="2" s="1"/>
  <c r="CB43" i="2"/>
  <c r="H208" i="2"/>
  <c r="BV208" i="2" s="1"/>
  <c r="BX208" i="2" s="1"/>
  <c r="BY208" i="2" s="1"/>
  <c r="CB95" i="2"/>
  <c r="CB96" i="2"/>
  <c r="CB73" i="2"/>
  <c r="CB98" i="2"/>
  <c r="H216" i="2"/>
  <c r="BV216" i="2" s="1"/>
  <c r="BX216" i="2" s="1"/>
  <c r="BY216" i="2" s="1"/>
  <c r="CB38" i="2"/>
  <c r="H227" i="2"/>
  <c r="BV227" i="2" s="1"/>
  <c r="BX227" i="2" s="1"/>
  <c r="BY227" i="2" s="1"/>
  <c r="CB90" i="2"/>
  <c r="CB102" i="2"/>
  <c r="H196" i="2"/>
  <c r="BV196" i="2" s="1"/>
  <c r="BX196" i="2" s="1"/>
  <c r="BY196" i="2" s="1"/>
  <c r="CB115" i="2"/>
  <c r="H207" i="2"/>
  <c r="BV207" i="2" s="1"/>
  <c r="BX207" i="2" s="1"/>
  <c r="BY207" i="2" s="1"/>
  <c r="CB153" i="2"/>
  <c r="CB78" i="2"/>
  <c r="H209" i="2"/>
  <c r="BV209" i="2" s="1"/>
  <c r="BX209" i="2" s="1"/>
  <c r="BY209" i="2" s="1"/>
  <c r="CB128" i="2"/>
  <c r="CB159" i="2"/>
  <c r="CB152" i="2"/>
  <c r="H240" i="2"/>
  <c r="BV240" i="2" s="1"/>
  <c r="BX240" i="2" s="1"/>
  <c r="BY240" i="2" s="1"/>
  <c r="CB37" i="2"/>
  <c r="CB47" i="2"/>
  <c r="H224" i="2"/>
  <c r="BV224" i="2" s="1"/>
  <c r="BX224" i="2" s="1"/>
  <c r="BY224" i="2" s="1"/>
  <c r="CB116" i="2"/>
  <c r="CB142" i="2"/>
  <c r="CB84" i="2"/>
  <c r="CB111" i="2"/>
  <c r="CC111" i="2" s="1"/>
  <c r="CB196" i="2"/>
  <c r="CC196" i="2" s="1"/>
  <c r="CB79" i="2"/>
  <c r="CB130" i="2"/>
  <c r="CB124" i="2"/>
  <c r="CB133" i="2"/>
  <c r="H230" i="2"/>
  <c r="BV230" i="2" s="1"/>
  <c r="BX230" i="2" s="1"/>
  <c r="BY230" i="2" s="1"/>
  <c r="CB155" i="2"/>
  <c r="CB68" i="2"/>
  <c r="H218" i="2"/>
  <c r="BV218" i="2" s="1"/>
  <c r="BX218" i="2" s="1"/>
  <c r="BY218" i="2" s="1"/>
  <c r="CB34" i="2"/>
  <c r="H221" i="2"/>
  <c r="BV221" i="2" s="1"/>
  <c r="BX221" i="2" s="1"/>
  <c r="BY221" i="2" s="1"/>
  <c r="CB106" i="2"/>
  <c r="H229" i="2"/>
  <c r="BV229" i="2" s="1"/>
  <c r="BX229" i="2" s="1"/>
  <c r="BY229" i="2" s="1"/>
  <c r="CB82" i="2"/>
  <c r="CB33" i="2"/>
  <c r="CB44" i="2"/>
  <c r="CB70" i="2"/>
  <c r="CB129" i="2"/>
  <c r="CB62" i="2"/>
  <c r="CB42" i="2"/>
  <c r="CB80" i="2"/>
  <c r="CB121" i="2"/>
  <c r="CB15" i="2"/>
  <c r="H154" i="2"/>
  <c r="BV154" i="2" s="1"/>
  <c r="BX154" i="2" s="1"/>
  <c r="BY154" i="2" s="1"/>
  <c r="CB35" i="2"/>
  <c r="CB9" i="2"/>
  <c r="CB46" i="2"/>
  <c r="CB81" i="2"/>
  <c r="H203" i="2"/>
  <c r="BV203" i="2" s="1"/>
  <c r="BX203" i="2" s="1"/>
  <c r="BY203" i="2" s="1"/>
  <c r="CB103" i="2"/>
  <c r="CB71" i="2"/>
  <c r="H246" i="2"/>
  <c r="BV246" i="2" s="1"/>
  <c r="BX246" i="2" s="1"/>
  <c r="BY246" i="2" s="1"/>
  <c r="CB89" i="2"/>
  <c r="CB145" i="2"/>
  <c r="CB83" i="2"/>
  <c r="CB91" i="2"/>
  <c r="CB100" i="2"/>
  <c r="CB101" i="2"/>
  <c r="H225" i="2"/>
  <c r="BV225" i="2" s="1"/>
  <c r="BX225" i="2" s="1"/>
  <c r="BY225" i="2" s="1"/>
  <c r="CB94" i="2"/>
  <c r="CB41" i="2"/>
  <c r="CB65" i="2"/>
  <c r="CB118" i="2"/>
  <c r="H241" i="2"/>
  <c r="BV241" i="2" s="1"/>
  <c r="BX241" i="2" s="1"/>
  <c r="BY241" i="2" s="1"/>
  <c r="CB150" i="2"/>
  <c r="H210" i="2"/>
  <c r="BV210" i="2" s="1"/>
  <c r="BX210" i="2" s="1"/>
  <c r="BY210" i="2" s="1"/>
  <c r="CB105" i="2"/>
  <c r="CB149" i="2"/>
  <c r="CB158" i="2"/>
  <c r="CB88" i="2"/>
  <c r="CC88" i="2" s="1"/>
  <c r="CB119" i="2"/>
  <c r="H233" i="2"/>
  <c r="BV233" i="2" s="1"/>
  <c r="BX233" i="2" s="1"/>
  <c r="BY233" i="2" s="1"/>
  <c r="CB162" i="2"/>
  <c r="CB104" i="2"/>
  <c r="H215" i="2"/>
  <c r="BV215" i="2" s="1"/>
  <c r="BX215" i="2" s="1"/>
  <c r="BY215" i="2" s="1"/>
  <c r="CB86" i="2"/>
  <c r="CB146" i="2"/>
  <c r="CB112" i="2"/>
  <c r="CB48" i="2"/>
  <c r="CB132" i="2"/>
  <c r="H232" i="2"/>
  <c r="BV232" i="2" s="1"/>
  <c r="BX232" i="2" s="1"/>
  <c r="BY232" i="2" s="1"/>
  <c r="CB66" i="2"/>
  <c r="H243" i="2"/>
  <c r="BV243" i="2" s="1"/>
  <c r="BX243" i="2" s="1"/>
  <c r="BY243" i="2" s="1"/>
  <c r="CB164" i="2"/>
  <c r="CB12" i="2"/>
  <c r="H244" i="2"/>
  <c r="BV244" i="2" s="1"/>
  <c r="BX244" i="2" s="1"/>
  <c r="BY244" i="2" s="1"/>
  <c r="CB74" i="2"/>
  <c r="H239" i="2"/>
  <c r="BV239" i="2" s="1"/>
  <c r="BX239" i="2" s="1"/>
  <c r="BY239" i="2" s="1"/>
  <c r="CB166" i="2"/>
  <c r="H200" i="2"/>
  <c r="BV200" i="2" s="1"/>
  <c r="BX200" i="2" s="1"/>
  <c r="BY200" i="2" s="1"/>
  <c r="CB131" i="2"/>
  <c r="CB92" i="2"/>
  <c r="CB117" i="2"/>
  <c r="CB57" i="2"/>
  <c r="H206" i="2"/>
  <c r="BV206" i="2" s="1"/>
  <c r="BX206" i="2" s="1"/>
  <c r="BY206" i="2" s="1"/>
  <c r="CB54" i="2"/>
  <c r="H201" i="2"/>
  <c r="BV201" i="2" s="1"/>
  <c r="BX201" i="2" s="1"/>
  <c r="BY201" i="2" s="1"/>
  <c r="CB56" i="2"/>
  <c r="CB160" i="2"/>
  <c r="H214" i="2"/>
  <c r="BV214" i="2" s="1"/>
  <c r="BX214" i="2" s="1"/>
  <c r="BY214" i="2" s="1"/>
  <c r="CB134" i="2"/>
  <c r="CB126" i="2"/>
  <c r="CB139" i="2"/>
  <c r="CB32" i="2"/>
  <c r="CB20" i="2"/>
  <c r="CB120" i="2"/>
  <c r="CB140" i="2"/>
  <c r="H226" i="2"/>
  <c r="BV226" i="2" s="1"/>
  <c r="BX226" i="2" s="1"/>
  <c r="BY226" i="2" s="1"/>
  <c r="CB17" i="2"/>
  <c r="H245" i="2"/>
  <c r="BV245" i="2" s="1"/>
  <c r="BX245" i="2" s="1"/>
  <c r="BY245" i="2" s="1"/>
  <c r="CB156" i="2"/>
  <c r="CB63" i="2"/>
  <c r="CB127" i="2"/>
  <c r="CB93" i="2"/>
  <c r="CB97" i="2"/>
  <c r="CB211" i="2"/>
  <c r="CC211" i="2" s="1"/>
  <c r="H237" i="2"/>
  <c r="BV237" i="2" s="1"/>
  <c r="BX237" i="2" s="1"/>
  <c r="BY237" i="2" s="1"/>
  <c r="CB36" i="2"/>
  <c r="H222" i="2"/>
  <c r="BV222" i="2" s="1"/>
  <c r="BX222" i="2" s="1"/>
  <c r="BY222" i="2" s="1"/>
  <c r="CB137" i="2"/>
  <c r="H234" i="2"/>
  <c r="BV234" i="2" s="1"/>
  <c r="BX234" i="2" s="1"/>
  <c r="BY234" i="2" s="1"/>
  <c r="CB85" i="2"/>
  <c r="CB192" i="2"/>
  <c r="CC192" i="2" s="1"/>
  <c r="CB55" i="2"/>
  <c r="CB125" i="2"/>
  <c r="CB52" i="2"/>
  <c r="CB151" i="2"/>
  <c r="H192" i="2"/>
  <c r="BV192" i="2" s="1"/>
  <c r="BX192" i="2" s="1"/>
  <c r="BY192" i="2" s="1"/>
  <c r="CB51" i="2"/>
  <c r="CB5" i="2"/>
  <c r="H235" i="2"/>
  <c r="BV235" i="2" s="1"/>
  <c r="BX235" i="2" s="1"/>
  <c r="BY235" i="2" s="1"/>
  <c r="CB13" i="2"/>
  <c r="CB69" i="2"/>
  <c r="CB6" i="2"/>
  <c r="H130" i="2"/>
  <c r="BV130" i="2" s="1"/>
  <c r="BX130" i="2" s="1"/>
  <c r="BY130" i="2" s="1"/>
  <c r="H42" i="2"/>
  <c r="BV42" i="2" s="1"/>
  <c r="BX42" i="2" s="1"/>
  <c r="BY42" i="2" s="1"/>
  <c r="H75" i="2"/>
  <c r="BV75" i="2" s="1"/>
  <c r="BX75" i="2" s="1"/>
  <c r="BY75" i="2" s="1"/>
  <c r="H83" i="2"/>
  <c r="BV83" i="2" s="1"/>
  <c r="BX83" i="2" s="1"/>
  <c r="BY83" i="2" s="1"/>
  <c r="H58" i="2"/>
  <c r="BV58" i="2" s="1"/>
  <c r="BX58" i="2" s="1"/>
  <c r="BY58" i="2" s="1"/>
  <c r="H199" i="2"/>
  <c r="BV199" i="2" s="1"/>
  <c r="BX199" i="2" s="1"/>
  <c r="BY199" i="2" s="1"/>
  <c r="H236" i="2"/>
  <c r="BV236" i="2" s="1"/>
  <c r="BX236" i="2" s="1"/>
  <c r="BY236" i="2" s="1"/>
  <c r="H64" i="2"/>
  <c r="BV64" i="2" s="1"/>
  <c r="BX64" i="2" s="1"/>
  <c r="BY64" i="2" s="1"/>
  <c r="H153" i="2"/>
  <c r="BV153" i="2" s="1"/>
  <c r="BX153" i="2" s="1"/>
  <c r="BY153" i="2" s="1"/>
  <c r="H73" i="2"/>
  <c r="BV73" i="2" s="1"/>
  <c r="BX73" i="2" s="1"/>
  <c r="BY73" i="2" s="1"/>
  <c r="H96" i="2"/>
  <c r="BV96" i="2" s="1"/>
  <c r="BX96" i="2" s="1"/>
  <c r="BY96" i="2" s="1"/>
  <c r="CS241" i="2" l="1"/>
  <c r="CP241" i="2"/>
  <c r="CR241" i="2"/>
  <c r="CO241" i="2"/>
  <c r="CP240" i="2"/>
  <c r="CS240" i="2"/>
  <c r="CR240" i="2"/>
  <c r="CQ240" i="2"/>
  <c r="CR244" i="2"/>
  <c r="CS244" i="2"/>
  <c r="CP244" i="2"/>
  <c r="CQ244" i="2"/>
  <c r="CO246" i="2"/>
  <c r="CS222" i="2"/>
  <c r="CP222" i="2"/>
  <c r="CO222" i="2"/>
  <c r="CR222" i="2"/>
  <c r="CO237" i="2"/>
  <c r="CS243" i="2"/>
  <c r="CR242" i="2"/>
  <c r="CR237" i="2"/>
  <c r="CO228" i="2"/>
  <c r="CQ237" i="2"/>
  <c r="CQ228" i="2"/>
  <c r="CP237" i="2"/>
  <c r="CP233" i="2"/>
  <c r="CO243" i="2"/>
  <c r="CP230" i="2"/>
  <c r="CP242" i="2"/>
  <c r="CR238" i="2"/>
  <c r="CO234" i="2"/>
  <c r="CQ234" i="2"/>
  <c r="CO236" i="2"/>
  <c r="CR228" i="2"/>
  <c r="CS228" i="2"/>
  <c r="CR225" i="2"/>
  <c r="CQ225" i="2"/>
  <c r="CS225" i="2"/>
  <c r="CP234" i="2"/>
  <c r="CR234" i="2"/>
  <c r="CQ238" i="2"/>
  <c r="CS226" i="2"/>
  <c r="CR232" i="2"/>
  <c r="CR226" i="2"/>
  <c r="CS232" i="2"/>
  <c r="CQ231" i="2"/>
  <c r="CQ220" i="2"/>
  <c r="CO231" i="2"/>
  <c r="CP236" i="2"/>
  <c r="CR229" i="2"/>
  <c r="CS236" i="2"/>
  <c r="CP246" i="2"/>
  <c r="CS229" i="2"/>
  <c r="CS223" i="2"/>
  <c r="CQ246" i="2"/>
  <c r="CR223" i="2"/>
  <c r="CR246" i="2"/>
  <c r="CP226" i="2"/>
  <c r="CQ226" i="2"/>
  <c r="CO232" i="2"/>
  <c r="CP232" i="2"/>
  <c r="CQ236" i="2"/>
  <c r="CR233" i="2"/>
  <c r="CP243" i="2"/>
  <c r="CQ243" i="2"/>
  <c r="CR230" i="2"/>
  <c r="CO225" i="2"/>
  <c r="CS242" i="2"/>
  <c r="CO233" i="2"/>
  <c r="CQ230" i="2"/>
  <c r="CS235" i="2"/>
  <c r="CS238" i="2"/>
  <c r="CR231" i="2"/>
  <c r="CP220" i="2"/>
  <c r="CP235" i="2"/>
  <c r="CR235" i="2"/>
  <c r="CO238" i="2"/>
  <c r="CP231" i="2"/>
  <c r="CS220" i="2"/>
  <c r="CQ235" i="2"/>
  <c r="CR220" i="2"/>
  <c r="CO242" i="2"/>
  <c r="CQ229" i="2"/>
  <c r="CO229" i="2"/>
  <c r="CQ233" i="2"/>
  <c r="CQ223" i="2"/>
  <c r="CS230" i="2"/>
  <c r="CP221" i="2"/>
  <c r="CR221" i="2"/>
  <c r="CQ221" i="2"/>
  <c r="CO221" i="2"/>
  <c r="CS221" i="2"/>
  <c r="CQ239" i="2"/>
  <c r="CO239" i="2"/>
  <c r="CS239" i="2"/>
  <c r="CR239" i="2"/>
  <c r="CP239" i="2"/>
  <c r="CO223" i="2"/>
  <c r="CQ224" i="2"/>
  <c r="CO224" i="2"/>
  <c r="CR224" i="2"/>
  <c r="CS224" i="2"/>
  <c r="CP224" i="2"/>
  <c r="CR245" i="2"/>
  <c r="CP245" i="2"/>
  <c r="CO245" i="2"/>
  <c r="CQ245" i="2"/>
  <c r="CS245" i="2"/>
  <c r="CP227" i="2"/>
  <c r="CQ227" i="2"/>
  <c r="CO227" i="2"/>
  <c r="CR227" i="2"/>
  <c r="CS227" i="2"/>
  <c r="CO212" i="2"/>
  <c r="CR212" i="2"/>
  <c r="CS212" i="2"/>
  <c r="CP212" i="2"/>
  <c r="CQ212" i="2"/>
  <c r="CO201" i="2"/>
  <c r="CS201" i="2"/>
  <c r="CQ201" i="2"/>
  <c r="CR201" i="2"/>
  <c r="CP201" i="2"/>
  <c r="CS215" i="2"/>
  <c r="CP215" i="2"/>
  <c r="CO215" i="2"/>
  <c r="CQ215" i="2"/>
  <c r="CR215" i="2"/>
  <c r="CR217" i="2"/>
  <c r="CQ217" i="2"/>
  <c r="CO217" i="2"/>
  <c r="CS217" i="2"/>
  <c r="CP217" i="2"/>
  <c r="CR211" i="2"/>
  <c r="CP211" i="2"/>
  <c r="CS211" i="2"/>
  <c r="CO211" i="2"/>
  <c r="CQ211" i="2"/>
  <c r="CQ88" i="2"/>
  <c r="CO88" i="2"/>
  <c r="CR88" i="2"/>
  <c r="CS88" i="2"/>
  <c r="CP88" i="2"/>
  <c r="CQ191" i="2"/>
  <c r="CO191" i="2"/>
  <c r="CR191" i="2"/>
  <c r="CP191" i="2"/>
  <c r="CS191" i="2"/>
  <c r="CS208" i="2"/>
  <c r="CP208" i="2"/>
  <c r="CO208" i="2"/>
  <c r="CQ208" i="2"/>
  <c r="CR208" i="2"/>
  <c r="CP203" i="2"/>
  <c r="CS203" i="2"/>
  <c r="CQ203" i="2"/>
  <c r="CR203" i="2"/>
  <c r="CO203" i="2"/>
  <c r="CQ207" i="2"/>
  <c r="CR207" i="2"/>
  <c r="CO207" i="2"/>
  <c r="CS207" i="2"/>
  <c r="CP207" i="2"/>
  <c r="CS199" i="2"/>
  <c r="CQ199" i="2"/>
  <c r="CP199" i="2"/>
  <c r="CO199" i="2"/>
  <c r="CR199" i="2"/>
  <c r="CO200" i="2"/>
  <c r="CR200" i="2"/>
  <c r="CS200" i="2"/>
  <c r="CQ200" i="2"/>
  <c r="CP200" i="2"/>
  <c r="CQ192" i="2"/>
  <c r="CO192" i="2"/>
  <c r="CR192" i="2"/>
  <c r="CP192" i="2"/>
  <c r="CS192" i="2"/>
  <c r="CO189" i="2"/>
  <c r="CS189" i="2"/>
  <c r="CP189" i="2"/>
  <c r="CQ189" i="2"/>
  <c r="CR189" i="2"/>
  <c r="CR218" i="2"/>
  <c r="CO218" i="2"/>
  <c r="CP218" i="2"/>
  <c r="CQ218" i="2"/>
  <c r="CS218" i="2"/>
  <c r="CR186" i="2"/>
  <c r="CO186" i="2"/>
  <c r="CP186" i="2"/>
  <c r="CS186" i="2"/>
  <c r="CQ186" i="2"/>
  <c r="CP196" i="2"/>
  <c r="CO196" i="2"/>
  <c r="CQ196" i="2"/>
  <c r="CR196" i="2"/>
  <c r="CS196" i="2"/>
  <c r="CS111" i="2"/>
  <c r="CR111" i="2"/>
  <c r="CP111" i="2"/>
  <c r="CQ111" i="2"/>
  <c r="CO111" i="2"/>
  <c r="CP194" i="2"/>
  <c r="CQ194" i="2"/>
  <c r="CS194" i="2"/>
  <c r="CO194" i="2"/>
  <c r="CR194" i="2"/>
  <c r="CQ198" i="2"/>
  <c r="CP198" i="2"/>
  <c r="CR198" i="2"/>
  <c r="CO198" i="2"/>
  <c r="CS198" i="2"/>
  <c r="CQ204" i="2"/>
  <c r="CO204" i="2"/>
  <c r="CR204" i="2"/>
  <c r="CS204" i="2"/>
  <c r="CP204" i="2"/>
  <c r="CP187" i="2"/>
  <c r="CO187" i="2"/>
  <c r="CQ187" i="2"/>
  <c r="CR187" i="2"/>
  <c r="CS187" i="2"/>
  <c r="CS188" i="2"/>
  <c r="CQ188" i="2"/>
  <c r="CP188" i="2"/>
  <c r="CO188" i="2"/>
  <c r="CR188" i="2"/>
  <c r="CP213" i="2"/>
  <c r="CR213" i="2"/>
  <c r="CQ213" i="2"/>
  <c r="CO213" i="2"/>
  <c r="CS213" i="2"/>
  <c r="CQ214" i="2"/>
  <c r="CP214" i="2"/>
  <c r="CR214" i="2"/>
  <c r="CS214" i="2"/>
  <c r="CO214" i="2"/>
  <c r="CR202" i="2"/>
  <c r="CO202" i="2"/>
  <c r="CQ202" i="2"/>
  <c r="CS202" i="2"/>
  <c r="CP202" i="2"/>
  <c r="CS190" i="2"/>
  <c r="CO190" i="2"/>
  <c r="CR190" i="2"/>
  <c r="CP190" i="2"/>
  <c r="CQ190" i="2"/>
  <c r="CP216" i="2"/>
  <c r="CQ216" i="2"/>
  <c r="CO216" i="2"/>
  <c r="CS216" i="2"/>
  <c r="CR216" i="2"/>
  <c r="CS206" i="2"/>
  <c r="CO206" i="2"/>
  <c r="CR206" i="2"/>
  <c r="CQ206" i="2"/>
  <c r="CP206" i="2"/>
  <c r="CR195" i="2"/>
  <c r="CO195" i="2"/>
  <c r="CS195" i="2"/>
  <c r="CP195" i="2"/>
  <c r="CQ195" i="2"/>
  <c r="CP209" i="2"/>
  <c r="CO209" i="2"/>
  <c r="CR209" i="2"/>
  <c r="CQ209" i="2"/>
  <c r="CS209" i="2"/>
  <c r="CP210" i="2"/>
  <c r="CQ210" i="2"/>
  <c r="CS210" i="2"/>
  <c r="CO210" i="2"/>
  <c r="CR210" i="2"/>
  <c r="CS197" i="2"/>
  <c r="CP197" i="2"/>
  <c r="CR197" i="2"/>
  <c r="CQ197" i="2"/>
  <c r="CO197" i="2"/>
  <c r="CS205" i="2"/>
  <c r="CP205" i="2"/>
  <c r="CO205" i="2"/>
  <c r="CQ205" i="2"/>
  <c r="CR205" i="2"/>
  <c r="CQ185" i="2"/>
  <c r="CR185" i="2"/>
  <c r="CP185" i="2"/>
  <c r="CS185" i="2"/>
  <c r="CO185" i="2"/>
  <c r="CP219" i="2"/>
  <c r="CS219" i="2"/>
  <c r="CQ219" i="2"/>
  <c r="CR219" i="2"/>
  <c r="CO219" i="2"/>
  <c r="H128" i="2" l="1"/>
  <c r="BV128" i="2" s="1"/>
  <c r="BX128" i="2" s="1"/>
  <c r="BY128" i="2" s="1"/>
  <c r="H91" i="2"/>
  <c r="BV91" i="2" s="1"/>
  <c r="BX91" i="2" s="1"/>
  <c r="BY91" i="2" s="1"/>
  <c r="H157" i="2"/>
  <c r="BV157" i="2" s="1"/>
  <c r="BX157" i="2" s="1"/>
  <c r="BY157" i="2" s="1"/>
  <c r="H78" i="2"/>
  <c r="BV78" i="2" s="1"/>
  <c r="BX78" i="2" s="1"/>
  <c r="BY78" i="2" s="1"/>
  <c r="H178" i="2"/>
  <c r="BV178" i="2" s="1"/>
  <c r="BX178" i="2" s="1"/>
  <c r="BY178" i="2" s="1"/>
  <c r="H152" i="2"/>
  <c r="BV152" i="2" s="1"/>
  <c r="BX152" i="2" s="1"/>
  <c r="BY152" i="2" s="1"/>
  <c r="H82" i="2"/>
  <c r="BV82" i="2" s="1"/>
  <c r="BX82" i="2" s="1"/>
  <c r="BY82" i="2" s="1"/>
  <c r="H132" i="2"/>
  <c r="BV132" i="2" s="1"/>
  <c r="BX132" i="2" s="1"/>
  <c r="BY132" i="2" s="1"/>
  <c r="H19" i="2"/>
  <c r="BV19" i="2" s="1"/>
  <c r="BX19" i="2" s="1"/>
  <c r="BY19" i="2" s="1"/>
  <c r="H101" i="2"/>
  <c r="BV101" i="2" s="1"/>
  <c r="BX101" i="2" s="1"/>
  <c r="BY101" i="2" s="1"/>
  <c r="H193" i="2"/>
  <c r="BV193" i="2" s="1"/>
  <c r="BX193" i="2" s="1"/>
  <c r="BY193" i="2" s="1"/>
  <c r="H167" i="2"/>
  <c r="BV167" i="2" s="1"/>
  <c r="BX167" i="2" s="1"/>
  <c r="BY167" i="2" s="1"/>
  <c r="H135" i="2"/>
  <c r="BV135" i="2" s="1"/>
  <c r="BX135" i="2" s="1"/>
  <c r="BY135" i="2" s="1"/>
  <c r="H136" i="2"/>
  <c r="BV136" i="2" s="1"/>
  <c r="BX136" i="2" s="1"/>
  <c r="BY136" i="2" s="1"/>
  <c r="H139" i="2"/>
  <c r="BV139" i="2" s="1"/>
  <c r="BX139" i="2" s="1"/>
  <c r="BY139" i="2" s="1"/>
  <c r="H131" i="2"/>
  <c r="BV131" i="2" s="1"/>
  <c r="BX131" i="2" s="1"/>
  <c r="BY131" i="2" s="1"/>
  <c r="H14" i="2"/>
  <c r="BV14" i="2" s="1"/>
  <c r="BX14" i="2" s="1"/>
  <c r="BY14" i="2" s="1"/>
  <c r="H92" i="2"/>
  <c r="BV92" i="2" s="1"/>
  <c r="BX92" i="2" s="1"/>
  <c r="BY92" i="2" s="1"/>
  <c r="H56" i="2"/>
  <c r="BV56" i="2" s="1"/>
  <c r="BX56" i="2" s="1"/>
  <c r="BY56" i="2" s="1"/>
  <c r="H38" i="2"/>
  <c r="BV38" i="2" s="1"/>
  <c r="BX38" i="2" s="1"/>
  <c r="BY38" i="2" s="1"/>
  <c r="H54" i="2"/>
  <c r="BV54" i="2" s="1"/>
  <c r="BX54" i="2" s="1"/>
  <c r="BY54" i="2" s="1"/>
  <c r="H100" i="2"/>
  <c r="BV100" i="2" s="1"/>
  <c r="BX100" i="2" s="1"/>
  <c r="BY100" i="2" s="1"/>
  <c r="H163" i="2"/>
  <c r="BV163" i="2" s="1"/>
  <c r="BX163" i="2" s="1"/>
  <c r="BY163" i="2" s="1"/>
  <c r="H60" i="2"/>
  <c r="BV60" i="2" s="1"/>
  <c r="BX60" i="2" s="1"/>
  <c r="BY60" i="2" s="1"/>
  <c r="H186" i="2"/>
  <c r="BV186" i="2" s="1"/>
  <c r="BX186" i="2" s="1"/>
  <c r="BY186" i="2" s="1"/>
  <c r="H53" i="2"/>
  <c r="BV53" i="2" s="1"/>
  <c r="BX53" i="2" s="1"/>
  <c r="BY53" i="2" s="1"/>
  <c r="H108" i="2"/>
  <c r="BV108" i="2" s="1"/>
  <c r="BX108" i="2" s="1"/>
  <c r="BY108" i="2" s="1"/>
  <c r="H5" i="2"/>
  <c r="BV5" i="2" s="1"/>
  <c r="BX5" i="2" s="1"/>
  <c r="BY5" i="2" s="1"/>
  <c r="H180" i="2"/>
  <c r="BV180" i="2" s="1"/>
  <c r="BX180" i="2" s="1"/>
  <c r="BY180" i="2" s="1"/>
  <c r="H149" i="2"/>
  <c r="BV149" i="2" s="1"/>
  <c r="BX149" i="2" s="1"/>
  <c r="BY149" i="2" s="1"/>
  <c r="H111" i="2"/>
  <c r="BV111" i="2" s="1"/>
  <c r="BX111" i="2" s="1"/>
  <c r="BY111" i="2" s="1"/>
  <c r="H62" i="2"/>
  <c r="BV62" i="2" s="1"/>
  <c r="BX62" i="2" s="1"/>
  <c r="BY62" i="2" s="1"/>
  <c r="H44" i="2"/>
  <c r="BV44" i="2" s="1"/>
  <c r="BX44" i="2" s="1"/>
  <c r="BY44" i="2" s="1"/>
  <c r="H39" i="2"/>
  <c r="BV39" i="2" s="1"/>
  <c r="BX39" i="2" s="1"/>
  <c r="BY39" i="2" s="1"/>
  <c r="H177" i="2"/>
  <c r="BV177" i="2" s="1"/>
  <c r="BX177" i="2" s="1"/>
  <c r="BY177" i="2" s="1"/>
  <c r="H169" i="2"/>
  <c r="BV169" i="2" s="1"/>
  <c r="BX169" i="2" s="1"/>
  <c r="BY169" i="2" s="1"/>
  <c r="H142" i="2"/>
  <c r="BV142" i="2" s="1"/>
  <c r="BX142" i="2" s="1"/>
  <c r="BY142" i="2" s="1"/>
  <c r="BV11" i="2"/>
  <c r="BX11" i="2" s="1"/>
  <c r="BY11" i="2" s="1"/>
  <c r="H61" i="2"/>
  <c r="BV61" i="2" s="1"/>
  <c r="BX61" i="2" s="1"/>
  <c r="BY61" i="2" s="1"/>
  <c r="H51" i="2"/>
  <c r="BV51" i="2" s="1"/>
  <c r="BX51" i="2" s="1"/>
  <c r="BY51" i="2" s="1"/>
  <c r="H173" i="2"/>
  <c r="BV173" i="2" s="1"/>
  <c r="BX173" i="2" s="1"/>
  <c r="BY173" i="2" s="1"/>
  <c r="H125" i="2"/>
  <c r="BV125" i="2" s="1"/>
  <c r="BX125" i="2" s="1"/>
  <c r="BY125" i="2" s="1"/>
  <c r="H104" i="2"/>
  <c r="BV104" i="2" s="1"/>
  <c r="BX104" i="2" s="1"/>
  <c r="BY104" i="2" s="1"/>
  <c r="H77" i="2"/>
  <c r="BV77" i="2" s="1"/>
  <c r="BX77" i="2" s="1"/>
  <c r="BY77" i="2" s="1"/>
  <c r="H164" i="2"/>
  <c r="BV164" i="2" s="1"/>
  <c r="BX164" i="2" s="1"/>
  <c r="BY164" i="2" s="1"/>
  <c r="H147" i="2"/>
  <c r="BV147" i="2" s="1"/>
  <c r="BX147" i="2" s="1"/>
  <c r="BY147" i="2" s="1"/>
  <c r="H138" i="2"/>
  <c r="BV138" i="2" s="1"/>
  <c r="BX138" i="2" s="1"/>
  <c r="BY138" i="2" s="1"/>
  <c r="H69" i="2"/>
  <c r="BV69" i="2" s="1"/>
  <c r="BX69" i="2" s="1"/>
  <c r="BY69" i="2" s="1"/>
  <c r="H150" i="2"/>
  <c r="BV150" i="2" s="1"/>
  <c r="BX150" i="2" s="1"/>
  <c r="BY150" i="2" s="1"/>
  <c r="H181" i="2"/>
  <c r="BV181" i="2" s="1"/>
  <c r="BX181" i="2" s="1"/>
  <c r="BY181" i="2" s="1"/>
  <c r="H102" i="2"/>
  <c r="BV102" i="2" s="1"/>
  <c r="BX102" i="2" s="1"/>
  <c r="BY102" i="2" s="1"/>
  <c r="H109" i="2"/>
  <c r="BV109" i="2" s="1"/>
  <c r="BX109" i="2" s="1"/>
  <c r="BY109" i="2" s="1"/>
  <c r="H184" i="2"/>
  <c r="BV184" i="2" s="1"/>
  <c r="BX184" i="2" s="1"/>
  <c r="BY184" i="2" s="1"/>
  <c r="H115" i="2"/>
  <c r="BV115" i="2" s="1"/>
  <c r="BX115" i="2" s="1"/>
  <c r="BY115" i="2" s="1"/>
  <c r="H8" i="2"/>
  <c r="BV8" i="2" s="1"/>
  <c r="BX8" i="2" s="1"/>
  <c r="BY8" i="2" s="1"/>
  <c r="H27" i="2"/>
  <c r="BV27" i="2" s="1"/>
  <c r="BX27" i="2" s="1"/>
  <c r="BY27" i="2" s="1"/>
  <c r="H183" i="2"/>
  <c r="BV183" i="2" s="1"/>
  <c r="BX183" i="2" s="1"/>
  <c r="BY183" i="2" s="1"/>
  <c r="H43" i="2"/>
  <c r="BV43" i="2" s="1"/>
  <c r="BX43" i="2" s="1"/>
  <c r="BY43" i="2" s="1"/>
  <c r="H12" i="2"/>
  <c r="BV12" i="2" s="1"/>
  <c r="BX12" i="2" s="1"/>
  <c r="BY12" i="2" s="1"/>
  <c r="H45" i="2"/>
  <c r="BV45" i="2" s="1"/>
  <c r="BX45" i="2" s="1"/>
  <c r="BY45" i="2" s="1"/>
  <c r="H32" i="2"/>
  <c r="BV32" i="2" s="1"/>
  <c r="BX32" i="2" s="1"/>
  <c r="BY32" i="2" s="1"/>
  <c r="H182" i="2"/>
  <c r="BV182" i="2" s="1"/>
  <c r="BX182" i="2" s="1"/>
  <c r="BY182" i="2" s="1"/>
  <c r="H81" i="2"/>
  <c r="BV81" i="2" s="1"/>
  <c r="BX81" i="2" s="1"/>
  <c r="BY81" i="2" s="1"/>
  <c r="H106" i="2"/>
  <c r="BV106" i="2" s="1"/>
  <c r="BX106" i="2" s="1"/>
  <c r="BY106" i="2" s="1"/>
  <c r="H85" i="2"/>
  <c r="BV85" i="2" s="1"/>
  <c r="BX85" i="2" s="1"/>
  <c r="BY85" i="2" s="1"/>
  <c r="H70" i="2"/>
  <c r="BV70" i="2" s="1"/>
  <c r="BX70" i="2" s="1"/>
  <c r="BY70" i="2" s="1"/>
  <c r="H198" i="2"/>
  <c r="BV198" i="2" s="1"/>
  <c r="BX198" i="2" s="1"/>
  <c r="BY198" i="2" s="1"/>
  <c r="H176" i="2"/>
  <c r="BV176" i="2" s="1"/>
  <c r="BX176" i="2" s="1"/>
  <c r="BY176" i="2" s="1"/>
  <c r="H145" i="2"/>
  <c r="BV145" i="2" s="1"/>
  <c r="BX145" i="2" s="1"/>
  <c r="BY145" i="2" s="1"/>
  <c r="H99" i="2"/>
  <c r="BV99" i="2" s="1"/>
  <c r="BX99" i="2" s="1"/>
  <c r="BY99" i="2" s="1"/>
  <c r="H93" i="2"/>
  <c r="BV93" i="2" s="1"/>
  <c r="BX93" i="2" s="1"/>
  <c r="BY93" i="2" s="1"/>
  <c r="H80" i="2"/>
  <c r="BV80" i="2" s="1"/>
  <c r="BX80" i="2" s="1"/>
  <c r="BY80" i="2" s="1"/>
  <c r="H41" i="2"/>
  <c r="BV41" i="2" s="1"/>
  <c r="H29" i="2"/>
  <c r="BV29" i="2" s="1"/>
  <c r="H15" i="2"/>
  <c r="BV15" i="2" s="1"/>
  <c r="BX15" i="2" s="1"/>
  <c r="BY15" i="2" s="1"/>
  <c r="H118" i="2"/>
  <c r="BV118" i="2" s="1"/>
  <c r="BX118" i="2" s="1"/>
  <c r="BY118" i="2" s="1"/>
  <c r="H114" i="2"/>
  <c r="BV114" i="2" s="1"/>
  <c r="BX114" i="2" s="1"/>
  <c r="BY114" i="2" s="1"/>
  <c r="H84" i="2"/>
  <c r="BV84" i="2" s="1"/>
  <c r="BX84" i="2" s="1"/>
  <c r="BY84" i="2" s="1"/>
  <c r="H105" i="2"/>
  <c r="BV105" i="2" s="1"/>
  <c r="BX105" i="2" s="1"/>
  <c r="BY105" i="2" s="1"/>
  <c r="H37" i="2"/>
  <c r="BV37" i="2" s="1"/>
  <c r="BX37" i="2" s="1"/>
  <c r="BY37" i="2" s="1"/>
  <c r="H10" i="2"/>
  <c r="BV10" i="2" s="1"/>
  <c r="BX10" i="2" s="1"/>
  <c r="BY10" i="2" s="1"/>
  <c r="H185" i="2"/>
  <c r="BV185" i="2" s="1"/>
  <c r="BX185" i="2" s="1"/>
  <c r="BY185" i="2" s="1"/>
  <c r="H30" i="2"/>
  <c r="BV30" i="2" s="1"/>
  <c r="BX30" i="2" s="1"/>
  <c r="BY30" i="2" s="1"/>
  <c r="H172" i="2"/>
  <c r="BV172" i="2" s="1"/>
  <c r="BX172" i="2" s="1"/>
  <c r="BY172" i="2" s="1"/>
  <c r="H166" i="2"/>
  <c r="BV166" i="2" s="1"/>
  <c r="BX166" i="2" s="1"/>
  <c r="BY166" i="2" s="1"/>
  <c r="H124" i="2"/>
  <c r="BV124" i="2" s="1"/>
  <c r="BX124" i="2" s="1"/>
  <c r="BY124" i="2" s="1"/>
  <c r="H197" i="2"/>
  <c r="BV197" i="2" s="1"/>
  <c r="BX197" i="2" s="1"/>
  <c r="BY197" i="2" s="1"/>
  <c r="H127" i="2"/>
  <c r="BV127" i="2" s="1"/>
  <c r="BX127" i="2" s="1"/>
  <c r="BY127" i="2" s="1"/>
  <c r="H87" i="2"/>
  <c r="BV87" i="2" s="1"/>
  <c r="BX87" i="2" s="1"/>
  <c r="BY87" i="2" s="1"/>
  <c r="H148" i="2"/>
  <c r="BV148" i="2" s="1"/>
  <c r="BX148" i="2" s="1"/>
  <c r="BY148" i="2" s="1"/>
  <c r="H116" i="2"/>
  <c r="BV116" i="2" s="1"/>
  <c r="BX116" i="2" s="1"/>
  <c r="BY116" i="2" s="1"/>
  <c r="H76" i="2"/>
  <c r="BV76" i="2" s="1"/>
  <c r="BX76" i="2" s="1"/>
  <c r="BY76" i="2" s="1"/>
  <c r="H174" i="2"/>
  <c r="BV174" i="2" s="1"/>
  <c r="BX174" i="2" s="1"/>
  <c r="BY174" i="2" s="1"/>
  <c r="H65" i="2"/>
  <c r="BV65" i="2" s="1"/>
  <c r="BX65" i="2" s="1"/>
  <c r="BY65" i="2" s="1"/>
  <c r="H6" i="2"/>
  <c r="BV6" i="2" s="1"/>
  <c r="BX6" i="2" s="1"/>
  <c r="BY6" i="2" s="1"/>
  <c r="H129" i="2"/>
  <c r="BV129" i="2" s="1"/>
  <c r="BX129" i="2" s="1"/>
  <c r="BY129" i="2" s="1"/>
  <c r="H171" i="2"/>
  <c r="BV171" i="2" s="1"/>
  <c r="BX171" i="2" s="1"/>
  <c r="BY171" i="2" s="1"/>
  <c r="H123" i="2"/>
  <c r="BV123" i="2" s="1"/>
  <c r="BX123" i="2" s="1"/>
  <c r="BY123" i="2" s="1"/>
  <c r="H79" i="2"/>
  <c r="BV79" i="2" s="1"/>
  <c r="BX79" i="2" s="1"/>
  <c r="BY79" i="2" s="1"/>
  <c r="H47" i="2"/>
  <c r="BV47" i="2" s="1"/>
  <c r="BX47" i="2" s="1"/>
  <c r="BY47" i="2" s="1"/>
  <c r="H7" i="2"/>
  <c r="BV7" i="2" s="1"/>
  <c r="BX7" i="2" s="1"/>
  <c r="BY7" i="2" s="1"/>
  <c r="H117" i="2"/>
  <c r="BV117" i="2" s="1"/>
  <c r="BX117" i="2" s="1"/>
  <c r="BY117" i="2" s="1"/>
  <c r="H188" i="2"/>
  <c r="BV188" i="2" s="1"/>
  <c r="BX188" i="2" s="1"/>
  <c r="BY188" i="2" s="1"/>
  <c r="H90" i="2"/>
  <c r="BV90" i="2" s="1"/>
  <c r="BX90" i="2" s="1"/>
  <c r="BY90" i="2" s="1"/>
  <c r="H195" i="2"/>
  <c r="BV195" i="2" s="1"/>
  <c r="BX195" i="2" s="1"/>
  <c r="BY195" i="2" s="1"/>
  <c r="H68" i="2"/>
  <c r="BV68" i="2" s="1"/>
  <c r="BX68" i="2" s="1"/>
  <c r="BY68" i="2" s="1"/>
  <c r="H121" i="2"/>
  <c r="BV121" i="2" s="1"/>
  <c r="BX121" i="2" s="1"/>
  <c r="BY121" i="2" s="1"/>
  <c r="H36" i="2"/>
  <c r="BV36" i="2" s="1"/>
  <c r="BX36" i="2" s="1"/>
  <c r="BY36" i="2" s="1"/>
  <c r="H98" i="2"/>
  <c r="BV98" i="2" s="1"/>
  <c r="BX98" i="2" s="1"/>
  <c r="BY98" i="2" s="1"/>
  <c r="H63" i="2"/>
  <c r="BV63" i="2" s="1"/>
  <c r="H165" i="2"/>
  <c r="BV165" i="2" s="1"/>
  <c r="BX165" i="2" s="1"/>
  <c r="BY165" i="2" s="1"/>
  <c r="H46" i="2"/>
  <c r="BV46" i="2" s="1"/>
  <c r="BX46" i="2" s="1"/>
  <c r="BY46" i="2" s="1"/>
  <c r="H95" i="2"/>
  <c r="BV95" i="2" s="1"/>
  <c r="BX95" i="2" s="1"/>
  <c r="BY95" i="2" s="1"/>
  <c r="H50" i="2"/>
  <c r="BV50" i="2" s="1"/>
  <c r="BX50" i="2" s="1"/>
  <c r="BY50" i="2" s="1"/>
  <c r="H175" i="2"/>
  <c r="BV175" i="2" s="1"/>
  <c r="BX175" i="2" s="1"/>
  <c r="BY175" i="2" s="1"/>
  <c r="H189" i="2"/>
  <c r="BV189" i="2" s="1"/>
  <c r="BX189" i="2" s="1"/>
  <c r="BY189" i="2" s="1"/>
  <c r="H155" i="2"/>
  <c r="BV155" i="2" s="1"/>
  <c r="BX155" i="2" s="1"/>
  <c r="BY155" i="2" s="1"/>
  <c r="H33" i="2"/>
  <c r="BV33" i="2" s="1"/>
  <c r="BX33" i="2" s="1"/>
  <c r="BY33" i="2" s="1"/>
  <c r="H94" i="2"/>
  <c r="BV94" i="2" s="1"/>
  <c r="BX94" i="2" s="1"/>
  <c r="BY94" i="2" s="1"/>
  <c r="CA170" i="2"/>
  <c r="CA97" i="2"/>
  <c r="CA7" i="2"/>
  <c r="CA130" i="2"/>
  <c r="CA173" i="2"/>
  <c r="CA32" i="2"/>
  <c r="CA52" i="2"/>
  <c r="CA161" i="2"/>
  <c r="CA72" i="2"/>
  <c r="CA101" i="2"/>
  <c r="CC101" i="2" s="1"/>
  <c r="CA56" i="2"/>
  <c r="CA157" i="2"/>
  <c r="CA154" i="2"/>
  <c r="CA102" i="2"/>
  <c r="CA58" i="2"/>
  <c r="CA41" i="2"/>
  <c r="CC41" i="2" s="1"/>
  <c r="CQ41" i="2" s="1"/>
  <c r="CA182" i="2"/>
  <c r="CA98" i="2"/>
  <c r="CA119" i="2"/>
  <c r="CC119" i="2" s="1"/>
  <c r="CA85" i="2"/>
  <c r="CC85" i="2" s="1"/>
  <c r="CA135" i="2"/>
  <c r="CC135" i="2" s="1"/>
  <c r="CR135" i="2" s="1"/>
  <c r="CA77" i="2"/>
  <c r="CC77" i="2" s="1"/>
  <c r="CA152" i="2"/>
  <c r="CA27" i="2"/>
  <c r="CA149" i="2"/>
  <c r="CA91" i="2"/>
  <c r="CC91" i="2" s="1"/>
  <c r="CP91" i="2" s="1"/>
  <c r="CA162" i="2"/>
  <c r="CC162" i="2" s="1"/>
  <c r="H160" i="2"/>
  <c r="BV160" i="2" s="1"/>
  <c r="BX160" i="2" s="1"/>
  <c r="BY160" i="2" s="1"/>
  <c r="CA22" i="2"/>
  <c r="CA164" i="2"/>
  <c r="CA143" i="2"/>
  <c r="CA90" i="2"/>
  <c r="CA39" i="2"/>
  <c r="CA12" i="2"/>
  <c r="CA148" i="2"/>
  <c r="CC148" i="2" s="1"/>
  <c r="CQ148" i="2" s="1"/>
  <c r="CA121" i="2"/>
  <c r="CC121" i="2" s="1"/>
  <c r="CO121" i="2" s="1"/>
  <c r="CA76" i="2"/>
  <c r="CC76" i="2" s="1"/>
  <c r="CR76" i="2" s="1"/>
  <c r="CA31" i="2"/>
  <c r="CA36" i="2"/>
  <c r="CC36" i="2" s="1"/>
  <c r="CP36" i="2" s="1"/>
  <c r="CA125" i="2"/>
  <c r="CA14" i="2"/>
  <c r="CA132" i="2"/>
  <c r="CA137" i="2"/>
  <c r="CC137" i="2" s="1"/>
  <c r="CQ137" i="2" s="1"/>
  <c r="CA178" i="2"/>
  <c r="CA33" i="2"/>
  <c r="CC33" i="2" s="1"/>
  <c r="CO33" i="2" s="1"/>
  <c r="CA99" i="2"/>
  <c r="CA37" i="2"/>
  <c r="CC37" i="2" s="1"/>
  <c r="CA179" i="2"/>
  <c r="CA145" i="2"/>
  <c r="CC145" i="2" s="1"/>
  <c r="CA123" i="2"/>
  <c r="CA62" i="2"/>
  <c r="CA67" i="2"/>
  <c r="CC67" i="2" s="1"/>
  <c r="CA42" i="2"/>
  <c r="CC42" i="2" s="1"/>
  <c r="CP42" i="2" s="1"/>
  <c r="CA104" i="2"/>
  <c r="CA40" i="2"/>
  <c r="H67" i="2"/>
  <c r="BV67" i="2" s="1"/>
  <c r="BX67" i="2" s="1"/>
  <c r="BY67" i="2" s="1"/>
  <c r="H59" i="2"/>
  <c r="BV59" i="2" s="1"/>
  <c r="BX59" i="2" s="1"/>
  <c r="BY59" i="2" s="1"/>
  <c r="H113" i="2"/>
  <c r="BV113" i="2" s="1"/>
  <c r="BX113" i="2" s="1"/>
  <c r="BY113" i="2" s="1"/>
  <c r="CA50" i="2"/>
  <c r="CA112" i="2"/>
  <c r="CA49" i="2"/>
  <c r="CA46" i="2"/>
  <c r="CA156" i="2"/>
  <c r="CA57" i="2"/>
  <c r="CC57" i="2" s="1"/>
  <c r="CA93" i="2"/>
  <c r="CA69" i="2"/>
  <c r="CA84" i="2"/>
  <c r="H141" i="2"/>
  <c r="BV141" i="2" s="1"/>
  <c r="BX141" i="2" s="1"/>
  <c r="BY141" i="2" s="1"/>
  <c r="H151" i="2"/>
  <c r="BV151" i="2" s="1"/>
  <c r="BX151" i="2" s="1"/>
  <c r="BY151" i="2" s="1"/>
  <c r="H18" i="2"/>
  <c r="BV18" i="2" s="1"/>
  <c r="BX18" i="2" s="1"/>
  <c r="BY18" i="2" s="1"/>
  <c r="H122" i="2"/>
  <c r="BV122" i="2" s="1"/>
  <c r="BX122" i="2" s="1"/>
  <c r="BY122" i="2" s="1"/>
  <c r="H40" i="2"/>
  <c r="BV40" i="2" s="1"/>
  <c r="BX40" i="2" s="1"/>
  <c r="BY40" i="2" s="1"/>
  <c r="H31" i="2"/>
  <c r="BV31" i="2" s="1"/>
  <c r="BX31" i="2" s="1"/>
  <c r="BY31" i="2" s="1"/>
  <c r="H16" i="2"/>
  <c r="BV16" i="2" s="1"/>
  <c r="BX16" i="2" s="1"/>
  <c r="BY16" i="2" s="1"/>
  <c r="H144" i="2"/>
  <c r="BV144" i="2" s="1"/>
  <c r="BX144" i="2" s="1"/>
  <c r="BY144" i="2" s="1"/>
  <c r="H161" i="2"/>
  <c r="BV161" i="2" s="1"/>
  <c r="BX161" i="2" s="1"/>
  <c r="BY161" i="2" s="1"/>
  <c r="H158" i="2"/>
  <c r="BV158" i="2" s="1"/>
  <c r="BX158" i="2" s="1"/>
  <c r="BY158" i="2" s="1"/>
  <c r="H143" i="2"/>
  <c r="BV143" i="2" s="1"/>
  <c r="BX143" i="2" s="1"/>
  <c r="BY143" i="2" s="1"/>
  <c r="H88" i="2"/>
  <c r="BV88" i="2" s="1"/>
  <c r="BX88" i="2" s="1"/>
  <c r="BY88" i="2" s="1"/>
  <c r="H35" i="2"/>
  <c r="BV35" i="2" s="1"/>
  <c r="BX35" i="2" s="1"/>
  <c r="BY35" i="2" s="1"/>
  <c r="H191" i="2"/>
  <c r="BV191" i="2" s="1"/>
  <c r="BX191" i="2" s="1"/>
  <c r="BY191" i="2" s="1"/>
  <c r="H48" i="2"/>
  <c r="BV48" i="2" s="1"/>
  <c r="BX48" i="2" s="1"/>
  <c r="BY48" i="2" s="1"/>
  <c r="H137" i="2"/>
  <c r="BV137" i="2" s="1"/>
  <c r="BX137" i="2" s="1"/>
  <c r="BY137" i="2" s="1"/>
  <c r="H134" i="2"/>
  <c r="BV134" i="2" s="1"/>
  <c r="BX134" i="2" s="1"/>
  <c r="BY134" i="2" s="1"/>
  <c r="H112" i="2"/>
  <c r="BV112" i="2" s="1"/>
  <c r="BX112" i="2" s="1"/>
  <c r="BY112" i="2" s="1"/>
  <c r="H194" i="2"/>
  <c r="BV194" i="2" s="1"/>
  <c r="BX194" i="2" s="1"/>
  <c r="BY194" i="2" s="1"/>
  <c r="H55" i="2"/>
  <c r="BV55" i="2" s="1"/>
  <c r="BX55" i="2" s="1"/>
  <c r="BY55" i="2" s="1"/>
  <c r="BV72" i="2"/>
  <c r="BX72" i="2" s="1"/>
  <c r="BY72" i="2" s="1"/>
  <c r="H86" i="2"/>
  <c r="BV86" i="2" s="1"/>
  <c r="BX86" i="2" s="1"/>
  <c r="BY86" i="2" s="1"/>
  <c r="H119" i="2"/>
  <c r="BV119" i="2" s="1"/>
  <c r="BX119" i="2" s="1"/>
  <c r="BY119" i="2" s="1"/>
  <c r="CA66" i="2"/>
  <c r="CA151" i="2"/>
  <c r="CC151" i="2" s="1"/>
  <c r="CA169" i="2"/>
  <c r="CA172" i="2"/>
  <c r="CC172" i="2" s="1"/>
  <c r="CA174" i="2"/>
  <c r="CA30" i="2"/>
  <c r="CA142" i="2"/>
  <c r="CA106" i="2"/>
  <c r="CA29" i="2"/>
  <c r="CA11" i="2"/>
  <c r="CA117" i="2"/>
  <c r="CA6" i="2"/>
  <c r="H57" i="2"/>
  <c r="BV57" i="2" s="1"/>
  <c r="BX57" i="2" s="1"/>
  <c r="BY57" i="2" s="1"/>
  <c r="H52" i="2"/>
  <c r="BV52" i="2" s="1"/>
  <c r="BX52" i="2" s="1"/>
  <c r="BY52" i="2" s="1"/>
  <c r="H66" i="2"/>
  <c r="BV66" i="2" s="1"/>
  <c r="BX66" i="2" s="1"/>
  <c r="BY66" i="2" s="1"/>
  <c r="CA92" i="2"/>
  <c r="CC92" i="2" s="1"/>
  <c r="CA63" i="2"/>
  <c r="CC63" i="2" s="1"/>
  <c r="CQ63" i="2" s="1"/>
  <c r="CA168" i="2"/>
  <c r="CA45" i="2"/>
  <c r="CA28" i="2"/>
  <c r="CA103" i="2"/>
  <c r="CC103" i="2" s="1"/>
  <c r="H107" i="2"/>
  <c r="BV107" i="2" s="1"/>
  <c r="BX107" i="2" s="1"/>
  <c r="BY107" i="2" s="1"/>
  <c r="H20" i="2"/>
  <c r="BV20" i="2" s="1"/>
  <c r="BX20" i="2" s="1"/>
  <c r="BY20" i="2" s="1"/>
  <c r="H74" i="2"/>
  <c r="BV74" i="2" s="1"/>
  <c r="BX74" i="2" s="1"/>
  <c r="BY74" i="2" s="1"/>
  <c r="H140" i="2"/>
  <c r="BV140" i="2" s="1"/>
  <c r="BX140" i="2" s="1"/>
  <c r="BY140" i="2" s="1"/>
  <c r="H13" i="2"/>
  <c r="BV13" i="2" s="1"/>
  <c r="BX13" i="2" s="1"/>
  <c r="BY13" i="2" s="1"/>
  <c r="H103" i="2"/>
  <c r="BV103" i="2" s="1"/>
  <c r="BX103" i="2" s="1"/>
  <c r="BY103" i="2" s="1"/>
  <c r="H71" i="2"/>
  <c r="BV71" i="2" s="1"/>
  <c r="BX71" i="2" s="1"/>
  <c r="BY71" i="2" s="1"/>
  <c r="H179" i="2"/>
  <c r="BV179" i="2" s="1"/>
  <c r="BX179" i="2" s="1"/>
  <c r="BY179" i="2" s="1"/>
  <c r="H17" i="2"/>
  <c r="BV17" i="2" s="1"/>
  <c r="BX17" i="2" s="1"/>
  <c r="BY17" i="2" s="1"/>
  <c r="H9" i="2"/>
  <c r="BV9" i="2" s="1"/>
  <c r="BX9" i="2" s="1"/>
  <c r="BY9" i="2" s="1"/>
  <c r="H49" i="2"/>
  <c r="BV49" i="2" s="1"/>
  <c r="BX49" i="2" s="1"/>
  <c r="BY49" i="2" s="1"/>
  <c r="H159" i="2"/>
  <c r="BV159" i="2" s="1"/>
  <c r="BX159" i="2" s="1"/>
  <c r="BY159" i="2" s="1"/>
  <c r="H156" i="2"/>
  <c r="BV156" i="2" s="1"/>
  <c r="BX156" i="2" s="1"/>
  <c r="BY156" i="2" s="1"/>
  <c r="H146" i="2"/>
  <c r="BV146" i="2" s="1"/>
  <c r="BX146" i="2" s="1"/>
  <c r="BY146" i="2" s="1"/>
  <c r="H187" i="2"/>
  <c r="BV187" i="2" s="1"/>
  <c r="BX187" i="2" s="1"/>
  <c r="BY187" i="2" s="1"/>
  <c r="H89" i="2"/>
  <c r="BV89" i="2" s="1"/>
  <c r="BX89" i="2" s="1"/>
  <c r="BY89" i="2" s="1"/>
  <c r="H133" i="2"/>
  <c r="BV133" i="2" s="1"/>
  <c r="BX133" i="2" s="1"/>
  <c r="BY133" i="2" s="1"/>
  <c r="H110" i="2"/>
  <c r="BV110" i="2" s="1"/>
  <c r="BX110" i="2" s="1"/>
  <c r="BY110" i="2" s="1"/>
  <c r="H126" i="2"/>
  <c r="BV126" i="2" s="1"/>
  <c r="BX126" i="2" s="1"/>
  <c r="BY126" i="2" s="1"/>
  <c r="H34" i="2"/>
  <c r="BV34" i="2" s="1"/>
  <c r="BX34" i="2" s="1"/>
  <c r="BY34" i="2" s="1"/>
  <c r="CA110" i="2"/>
  <c r="CA139" i="2"/>
  <c r="CA55" i="2"/>
  <c r="H162" i="2"/>
  <c r="BV162" i="2" s="1"/>
  <c r="BX162" i="2" s="1"/>
  <c r="BY162" i="2" s="1"/>
  <c r="CA75" i="2"/>
  <c r="CA80" i="2"/>
  <c r="CC80" i="2" s="1"/>
  <c r="CP80" i="2" s="1"/>
  <c r="CA81" i="2"/>
  <c r="CA126" i="2"/>
  <c r="CC126" i="2" s="1"/>
  <c r="CO126" i="2" s="1"/>
  <c r="CA13" i="2"/>
  <c r="CC13" i="2" s="1"/>
  <c r="CA100" i="2"/>
  <c r="CC100" i="2" s="1"/>
  <c r="CP100" i="2" s="1"/>
  <c r="CA47" i="2"/>
  <c r="CA114" i="2"/>
  <c r="CC114" i="2" s="1"/>
  <c r="CR114" i="2" s="1"/>
  <c r="CA153" i="2"/>
  <c r="CC153" i="2" s="1"/>
  <c r="CQ153" i="2" s="1"/>
  <c r="CA159" i="2"/>
  <c r="CC159" i="2" s="1"/>
  <c r="CA133" i="2"/>
  <c r="CA54" i="2"/>
  <c r="CC54" i="2" s="1"/>
  <c r="CR54" i="2" s="1"/>
  <c r="CA131" i="2"/>
  <c r="CA68" i="2"/>
  <c r="CA122" i="2"/>
  <c r="CC122" i="2" s="1"/>
  <c r="CO122" i="2" s="1"/>
  <c r="CA166" i="2"/>
  <c r="CA134" i="2"/>
  <c r="CA160" i="2"/>
  <c r="CC160" i="2" s="1"/>
  <c r="CP160" i="2" s="1"/>
  <c r="CA113" i="2"/>
  <c r="CA181" i="2"/>
  <c r="CC181" i="2" s="1"/>
  <c r="CA9" i="2"/>
  <c r="CA107" i="2"/>
  <c r="CA23" i="2"/>
  <c r="CA116" i="2"/>
  <c r="CA87" i="2"/>
  <c r="CC87" i="2" s="1"/>
  <c r="CQ87" i="2" s="1"/>
  <c r="CA163" i="2"/>
  <c r="CA140" i="2"/>
  <c r="CC140" i="2" s="1"/>
  <c r="CR140" i="2" s="1"/>
  <c r="CA65" i="2"/>
  <c r="CA25" i="2"/>
  <c r="CA120" i="2"/>
  <c r="CA48" i="2"/>
  <c r="CC48" i="2" s="1"/>
  <c r="CA35" i="2"/>
  <c r="CA38" i="2"/>
  <c r="CC38" i="2" s="1"/>
  <c r="CP38" i="2" s="1"/>
  <c r="CA124" i="2"/>
  <c r="CA8" i="2"/>
  <c r="CC8" i="2" s="1"/>
  <c r="CA61" i="2"/>
  <c r="CA129" i="2"/>
  <c r="CC129" i="2" s="1"/>
  <c r="CO129" i="2" s="1"/>
  <c r="CA171" i="2"/>
  <c r="CA82" i="2"/>
  <c r="CC82" i="2" s="1"/>
  <c r="CS82" i="2" s="1"/>
  <c r="CA15" i="2"/>
  <c r="CA175" i="2"/>
  <c r="CA115" i="2"/>
  <c r="CA108" i="2"/>
  <c r="CC108" i="2" s="1"/>
  <c r="CP108" i="2" s="1"/>
  <c r="CA51" i="2"/>
  <c r="CC51" i="2" s="1"/>
  <c r="CA150" i="2"/>
  <c r="CA60" i="2"/>
  <c r="CA167" i="2"/>
  <c r="CA20" i="2"/>
  <c r="CC20" i="2" s="1"/>
  <c r="CS20" i="2" s="1"/>
  <c r="CA53" i="2"/>
  <c r="CA94" i="2"/>
  <c r="CA17" i="2"/>
  <c r="CA158" i="2"/>
  <c r="CA105" i="2"/>
  <c r="CA34" i="2"/>
  <c r="CC34" i="2" s="1"/>
  <c r="CP34" i="2" s="1"/>
  <c r="CA146" i="2"/>
  <c r="CC146" i="2" s="1"/>
  <c r="CA144" i="2"/>
  <c r="CA86" i="2"/>
  <c r="CA19" i="2"/>
  <c r="CA127" i="2"/>
  <c r="CA83" i="2"/>
  <c r="CA59" i="2"/>
  <c r="CA96" i="2"/>
  <c r="CC96" i="2" s="1"/>
  <c r="CQ96" i="2" s="1"/>
  <c r="CA78" i="2"/>
  <c r="CA176" i="2"/>
  <c r="CA118" i="2"/>
  <c r="CA79" i="2"/>
  <c r="CC79" i="2" s="1"/>
  <c r="CS79" i="2" s="1"/>
  <c r="CA5" i="2"/>
  <c r="CA18" i="2"/>
  <c r="CA44" i="2"/>
  <c r="CA70" i="2"/>
  <c r="CA95" i="2"/>
  <c r="CC95" i="2" s="1"/>
  <c r="CA147" i="2"/>
  <c r="CA138" i="2"/>
  <c r="CC138" i="2" s="1"/>
  <c r="CA89" i="2"/>
  <c r="CA24" i="2"/>
  <c r="CA165" i="2"/>
  <c r="CC165" i="2" s="1"/>
  <c r="CA180" i="2"/>
  <c r="CC180" i="2" s="1"/>
  <c r="CP180" i="2" s="1"/>
  <c r="CA16" i="2"/>
  <c r="CA128" i="2"/>
  <c r="CA109" i="2"/>
  <c r="CC109" i="2" s="1"/>
  <c r="CA177" i="2"/>
  <c r="CC177" i="2" s="1"/>
  <c r="CO177" i="2" s="1"/>
  <c r="CA183" i="2"/>
  <c r="CA74" i="2"/>
  <c r="CC74" i="2" s="1"/>
  <c r="CS74" i="2" s="1"/>
  <c r="CA155" i="2"/>
  <c r="CC155" i="2" s="1"/>
  <c r="CO155" i="2" s="1"/>
  <c r="CA136" i="2"/>
  <c r="CC136" i="2" s="1"/>
  <c r="CQ136" i="2" s="1"/>
  <c r="CA141" i="2"/>
  <c r="CA10" i="2"/>
  <c r="CA21" i="2"/>
  <c r="CA64" i="2"/>
  <c r="CA71" i="2"/>
  <c r="CA43" i="2"/>
  <c r="CC43" i="2" s="1"/>
  <c r="CA73" i="2"/>
  <c r="CC73" i="2" s="1"/>
  <c r="CS73" i="2" s="1"/>
  <c r="BX63" i="2" l="1"/>
  <c r="BY63" i="2" s="1"/>
  <c r="BX29" i="2"/>
  <c r="BY29" i="2" s="1"/>
  <c r="BX41" i="2"/>
  <c r="BY41" i="2" s="1"/>
  <c r="CP74" i="2"/>
  <c r="CQ34" i="2"/>
  <c r="CR80" i="2"/>
  <c r="CO91" i="2"/>
  <c r="CQ122" i="2"/>
  <c r="CS114" i="2"/>
  <c r="CO80" i="2"/>
  <c r="CO41" i="2"/>
  <c r="CR33" i="2"/>
  <c r="CQ140" i="2"/>
  <c r="CR100" i="2"/>
  <c r="CQ80" i="2"/>
  <c r="CQ42" i="2"/>
  <c r="CP137" i="2"/>
  <c r="CR148" i="2"/>
  <c r="CS108" i="2"/>
  <c r="CQ114" i="2"/>
  <c r="CS137" i="2"/>
  <c r="CP129" i="2"/>
  <c r="CS140" i="2"/>
  <c r="CR91" i="2"/>
  <c r="CS95" i="2"/>
  <c r="CO95" i="2"/>
  <c r="CO181" i="2"/>
  <c r="CR181" i="2"/>
  <c r="CQ43" i="2"/>
  <c r="CR43" i="2"/>
  <c r="CP43" i="2"/>
  <c r="CC166" i="2"/>
  <c r="CR166" i="2" s="1"/>
  <c r="CC64" i="2"/>
  <c r="CR64" i="2" s="1"/>
  <c r="CQ180" i="2"/>
  <c r="CR180" i="2"/>
  <c r="CS129" i="2"/>
  <c r="CC120" i="2"/>
  <c r="CP120" i="2" s="1"/>
  <c r="CP77" i="2"/>
  <c r="CO77" i="2"/>
  <c r="CS77" i="2"/>
  <c r="CC130" i="2"/>
  <c r="CR130" i="2" s="1"/>
  <c r="CQ74" i="2"/>
  <c r="CQ109" i="2"/>
  <c r="CC128" i="2"/>
  <c r="CQ128" i="2" s="1"/>
  <c r="CO180" i="2"/>
  <c r="CP165" i="2"/>
  <c r="CR96" i="2"/>
  <c r="CC94" i="2"/>
  <c r="CQ94" i="2" s="1"/>
  <c r="CO20" i="2"/>
  <c r="CO108" i="2"/>
  <c r="CS48" i="2"/>
  <c r="CS181" i="2"/>
  <c r="CP54" i="2"/>
  <c r="CP159" i="2"/>
  <c r="CC110" i="2"/>
  <c r="CC69" i="2"/>
  <c r="CR69" i="2" s="1"/>
  <c r="CC62" i="2"/>
  <c r="CO62" i="2" s="1"/>
  <c r="CQ95" i="2"/>
  <c r="CS54" i="2"/>
  <c r="CS180" i="2"/>
  <c r="CP95" i="2"/>
  <c r="CC44" i="2"/>
  <c r="CQ44" i="2" s="1"/>
  <c r="CO146" i="2"/>
  <c r="CR108" i="2"/>
  <c r="CC175" i="2"/>
  <c r="CS175" i="2" s="1"/>
  <c r="CQ129" i="2"/>
  <c r="CP8" i="2"/>
  <c r="CO48" i="2"/>
  <c r="CP181" i="2"/>
  <c r="CQ181" i="2"/>
  <c r="CO54" i="2"/>
  <c r="CC133" i="2"/>
  <c r="CR133" i="2" s="1"/>
  <c r="CP153" i="2"/>
  <c r="CC55" i="2"/>
  <c r="CO55" i="2" s="1"/>
  <c r="CC32" i="2"/>
  <c r="CQ32" i="2" s="1"/>
  <c r="CC97" i="2"/>
  <c r="CS97" i="2" s="1"/>
  <c r="CC45" i="2"/>
  <c r="CQ45" i="2" s="1"/>
  <c r="CO36" i="2"/>
  <c r="CR36" i="2"/>
  <c r="CC149" i="2"/>
  <c r="CS149" i="2" s="1"/>
  <c r="CC102" i="2"/>
  <c r="CQ102" i="2" s="1"/>
  <c r="CS42" i="2"/>
  <c r="CR42" i="2"/>
  <c r="CQ33" i="2"/>
  <c r="CP148" i="2"/>
  <c r="CP41" i="2"/>
  <c r="CP140" i="2"/>
  <c r="CS92" i="2"/>
  <c r="CC46" i="2"/>
  <c r="CS46" i="2" s="1"/>
  <c r="CC40" i="2"/>
  <c r="CO40" i="2" s="1"/>
  <c r="CO42" i="2"/>
  <c r="CO137" i="2"/>
  <c r="CQ162" i="2"/>
  <c r="CS91" i="2"/>
  <c r="CR77" i="2"/>
  <c r="CC157" i="2"/>
  <c r="CS157" i="2" s="1"/>
  <c r="CO63" i="2"/>
  <c r="CR41" i="2"/>
  <c r="CC89" i="2"/>
  <c r="CO89" i="2" s="1"/>
  <c r="CP51" i="2"/>
  <c r="CO51" i="2"/>
  <c r="CP79" i="2"/>
  <c r="CR51" i="2"/>
  <c r="CC35" i="2"/>
  <c r="CS35" i="2" s="1"/>
  <c r="CO73" i="2"/>
  <c r="CQ73" i="2"/>
  <c r="CP73" i="2"/>
  <c r="CR73" i="2"/>
  <c r="CO43" i="2"/>
  <c r="CC71" i="2"/>
  <c r="CO71" i="2" s="1"/>
  <c r="CC141" i="2"/>
  <c r="CQ141" i="2" s="1"/>
  <c r="CR136" i="2"/>
  <c r="CP155" i="2"/>
  <c r="CR155" i="2"/>
  <c r="CS155" i="2"/>
  <c r="CQ155" i="2"/>
  <c r="CO74" i="2"/>
  <c r="CC183" i="2"/>
  <c r="CP183" i="2" s="1"/>
  <c r="CS138" i="2"/>
  <c r="CC53" i="2"/>
  <c r="CQ53" i="2" s="1"/>
  <c r="CQ20" i="2"/>
  <c r="CP20" i="2"/>
  <c r="CC150" i="2"/>
  <c r="CQ150" i="2" s="1"/>
  <c r="CS51" i="2"/>
  <c r="CR82" i="2"/>
  <c r="CR8" i="2"/>
  <c r="CO8" i="2"/>
  <c r="CC68" i="2"/>
  <c r="CS68" i="2" s="1"/>
  <c r="CP177" i="2"/>
  <c r="CS177" i="2"/>
  <c r="CQ138" i="2"/>
  <c r="CP138" i="2"/>
  <c r="CO138" i="2"/>
  <c r="CP136" i="2"/>
  <c r="CC105" i="2"/>
  <c r="CO105" i="2" s="1"/>
  <c r="CS136" i="2"/>
  <c r="CQ177" i="2"/>
  <c r="CR138" i="2"/>
  <c r="CC70" i="2"/>
  <c r="CR70" i="2" s="1"/>
  <c r="CC118" i="2"/>
  <c r="CS118" i="2" s="1"/>
  <c r="CS96" i="2"/>
  <c r="CP96" i="2"/>
  <c r="CC86" i="2"/>
  <c r="CS86" i="2" s="1"/>
  <c r="CS34" i="2"/>
  <c r="CR34" i="2"/>
  <c r="CC61" i="2"/>
  <c r="CR61" i="2" s="1"/>
  <c r="CS8" i="2"/>
  <c r="CS38" i="2"/>
  <c r="CQ48" i="2"/>
  <c r="CR48" i="2"/>
  <c r="CC65" i="2"/>
  <c r="CQ65" i="2" s="1"/>
  <c r="CC15" i="2"/>
  <c r="CQ15" i="2" s="1"/>
  <c r="CS87" i="2"/>
  <c r="CP87" i="2"/>
  <c r="CO79" i="2"/>
  <c r="CR79" i="2"/>
  <c r="CO82" i="2"/>
  <c r="CP82" i="2"/>
  <c r="CQ38" i="2"/>
  <c r="CO38" i="2"/>
  <c r="CR38" i="2"/>
  <c r="CO136" i="2"/>
  <c r="CR177" i="2"/>
  <c r="CQ126" i="2"/>
  <c r="CC139" i="2"/>
  <c r="CP139" i="2" s="1"/>
  <c r="CO103" i="2"/>
  <c r="CP103" i="2"/>
  <c r="CO172" i="2"/>
  <c r="CP172" i="2"/>
  <c r="CP151" i="2"/>
  <c r="CQ151" i="2"/>
  <c r="CS151" i="2"/>
  <c r="CC84" i="2"/>
  <c r="CS84" i="2" s="1"/>
  <c r="CQ57" i="2"/>
  <c r="CR57" i="2"/>
  <c r="CS145" i="2"/>
  <c r="CR145" i="2"/>
  <c r="CP145" i="2"/>
  <c r="CO37" i="2"/>
  <c r="CP37" i="2"/>
  <c r="CP101" i="2"/>
  <c r="CR101" i="2"/>
  <c r="CQ101" i="2"/>
  <c r="CO101" i="2"/>
  <c r="CS43" i="2"/>
  <c r="CR74" i="2"/>
  <c r="CR109" i="2"/>
  <c r="CO109" i="2"/>
  <c r="CR165" i="2"/>
  <c r="CQ165" i="2"/>
  <c r="CR95" i="2"/>
  <c r="CQ79" i="2"/>
  <c r="CC176" i="2"/>
  <c r="CO176" i="2" s="1"/>
  <c r="CO96" i="2"/>
  <c r="CC83" i="2"/>
  <c r="CP83" i="2" s="1"/>
  <c r="CC144" i="2"/>
  <c r="CS144" i="2" s="1"/>
  <c r="CS146" i="2"/>
  <c r="CR146" i="2"/>
  <c r="CO34" i="2"/>
  <c r="CC158" i="2"/>
  <c r="CS158" i="2" s="1"/>
  <c r="CR20" i="2"/>
  <c r="CQ51" i="2"/>
  <c r="CC5" i="2"/>
  <c r="CP5" i="2" s="1"/>
  <c r="CQ108" i="2"/>
  <c r="CQ82" i="2"/>
  <c r="CQ8" i="2"/>
  <c r="CC124" i="2"/>
  <c r="CO124" i="2" s="1"/>
  <c r="CP48" i="2"/>
  <c r="CO140" i="2"/>
  <c r="CO87" i="2"/>
  <c r="CR87" i="2"/>
  <c r="CC9" i="2"/>
  <c r="CQ9" i="2" s="1"/>
  <c r="CR160" i="2"/>
  <c r="CR122" i="2"/>
  <c r="CC131" i="2"/>
  <c r="CQ131" i="2" s="1"/>
  <c r="CS159" i="2"/>
  <c r="CO159" i="2"/>
  <c r="CP114" i="2"/>
  <c r="CC47" i="2"/>
  <c r="CR47" i="2" s="1"/>
  <c r="CQ100" i="2"/>
  <c r="CS13" i="2"/>
  <c r="CO13" i="2"/>
  <c r="CQ13" i="2"/>
  <c r="CP13" i="2"/>
  <c r="CR126" i="2"/>
  <c r="CC81" i="2"/>
  <c r="CO81" i="2" s="1"/>
  <c r="CC117" i="2"/>
  <c r="CO117" i="2" s="1"/>
  <c r="CO151" i="2"/>
  <c r="CO57" i="2"/>
  <c r="CS37" i="2"/>
  <c r="CC147" i="2"/>
  <c r="CP147" i="2" s="1"/>
  <c r="CQ146" i="2"/>
  <c r="CC115" i="2"/>
  <c r="CR115" i="2" s="1"/>
  <c r="CC171" i="2"/>
  <c r="CS171" i="2" s="1"/>
  <c r="CR129" i="2"/>
  <c r="CC107" i="2"/>
  <c r="CR107" i="2" s="1"/>
  <c r="CS160" i="2"/>
  <c r="CQ160" i="2"/>
  <c r="CR159" i="2"/>
  <c r="CS100" i="2"/>
  <c r="CS126" i="2"/>
  <c r="CR103" i="2"/>
  <c r="CC168" i="2"/>
  <c r="CO168" i="2" s="1"/>
  <c r="CP63" i="2"/>
  <c r="CR63" i="2"/>
  <c r="CS172" i="2"/>
  <c r="CC156" i="2"/>
  <c r="CQ156" i="2" s="1"/>
  <c r="CO145" i="2"/>
  <c r="CS76" i="2"/>
  <c r="CQ76" i="2"/>
  <c r="CQ85" i="2"/>
  <c r="CR85" i="2"/>
  <c r="CO85" i="2"/>
  <c r="CC52" i="2"/>
  <c r="CP52" i="2" s="1"/>
  <c r="CP109" i="2"/>
  <c r="CO165" i="2"/>
  <c r="CS109" i="2"/>
  <c r="CS165" i="2"/>
  <c r="CC78" i="2"/>
  <c r="CO78" i="2" s="1"/>
  <c r="CC127" i="2"/>
  <c r="CR127" i="2" s="1"/>
  <c r="CP146" i="2"/>
  <c r="CC17" i="2"/>
  <c r="CR17" i="2" s="1"/>
  <c r="CC116" i="2"/>
  <c r="CQ116" i="2" s="1"/>
  <c r="CO160" i="2"/>
  <c r="CC134" i="2"/>
  <c r="CO134" i="2" s="1"/>
  <c r="CP122" i="2"/>
  <c r="CS122" i="2"/>
  <c r="CQ54" i="2"/>
  <c r="CQ159" i="2"/>
  <c r="CO153" i="2"/>
  <c r="CS153" i="2"/>
  <c r="CR153" i="2"/>
  <c r="CO114" i="2"/>
  <c r="CR13" i="2"/>
  <c r="CQ103" i="2"/>
  <c r="CC142" i="2"/>
  <c r="CP142" i="2" s="1"/>
  <c r="CQ172" i="2"/>
  <c r="CR151" i="2"/>
  <c r="CS57" i="2"/>
  <c r="CP67" i="2"/>
  <c r="CS67" i="2"/>
  <c r="CQ67" i="2"/>
  <c r="CO67" i="2"/>
  <c r="CR67" i="2"/>
  <c r="CQ145" i="2"/>
  <c r="CR37" i="2"/>
  <c r="CR119" i="2"/>
  <c r="CO100" i="2"/>
  <c r="CP126" i="2"/>
  <c r="CS80" i="2"/>
  <c r="CS103" i="2"/>
  <c r="CS63" i="2"/>
  <c r="CO92" i="2"/>
  <c r="CQ92" i="2"/>
  <c r="CC6" i="2"/>
  <c r="CC106" i="2"/>
  <c r="CR172" i="2"/>
  <c r="CC66" i="2"/>
  <c r="CO66" i="2" s="1"/>
  <c r="CP57" i="2"/>
  <c r="CC112" i="2"/>
  <c r="CC104" i="2"/>
  <c r="CO104" i="2" s="1"/>
  <c r="CC123" i="2"/>
  <c r="CP123" i="2" s="1"/>
  <c r="CQ37" i="2"/>
  <c r="CC99" i="2"/>
  <c r="CO99" i="2" s="1"/>
  <c r="CP33" i="2"/>
  <c r="CC132" i="2"/>
  <c r="CO132" i="2" s="1"/>
  <c r="CC125" i="2"/>
  <c r="CQ125" i="2" s="1"/>
  <c r="CS36" i="2"/>
  <c r="CP76" i="2"/>
  <c r="CR121" i="2"/>
  <c r="CP121" i="2"/>
  <c r="CQ121" i="2"/>
  <c r="CS121" i="2"/>
  <c r="CS148" i="2"/>
  <c r="CC12" i="2"/>
  <c r="CS12" i="2" s="1"/>
  <c r="CC90" i="2"/>
  <c r="CP90" i="2" s="1"/>
  <c r="CC164" i="2"/>
  <c r="CP92" i="2"/>
  <c r="CC93" i="2"/>
  <c r="CR93" i="2" s="1"/>
  <c r="CC56" i="2"/>
  <c r="CQ56" i="2" s="1"/>
  <c r="CC7" i="2"/>
  <c r="CS7" i="2" s="1"/>
  <c r="CR92" i="2"/>
  <c r="CC49" i="2"/>
  <c r="CO49" i="2" s="1"/>
  <c r="CR162" i="2"/>
  <c r="CP162" i="2"/>
  <c r="CO162" i="2"/>
  <c r="CS162" i="2"/>
  <c r="CC152" i="2"/>
  <c r="CR152" i="2" s="1"/>
  <c r="CP135" i="2"/>
  <c r="CS135" i="2"/>
  <c r="CQ135" i="2"/>
  <c r="CO135" i="2"/>
  <c r="CP85" i="2"/>
  <c r="CO119" i="2"/>
  <c r="CQ119" i="2"/>
  <c r="CS119" i="2"/>
  <c r="CP119" i="2"/>
  <c r="CC182" i="2"/>
  <c r="CO182" i="2" s="1"/>
  <c r="CC58" i="2"/>
  <c r="CR58" i="2" s="1"/>
  <c r="CS33" i="2"/>
  <c r="CR137" i="2"/>
  <c r="CQ36" i="2"/>
  <c r="CO76" i="2"/>
  <c r="CO148" i="2"/>
  <c r="CC39" i="2"/>
  <c r="CC143" i="2"/>
  <c r="CP143" i="2" s="1"/>
  <c r="CQ91" i="2"/>
  <c r="CQ77" i="2"/>
  <c r="CS85" i="2"/>
  <c r="CC98" i="2"/>
  <c r="CQ98" i="2" s="1"/>
  <c r="CS41" i="2"/>
  <c r="CS101" i="2"/>
  <c r="CC173" i="2"/>
  <c r="CQ173" i="2" s="1"/>
  <c r="CO120" i="2" l="1"/>
  <c r="CS120" i="2"/>
  <c r="CP102" i="2"/>
  <c r="CQ5" i="2"/>
  <c r="CR62" i="2"/>
  <c r="CS40" i="2"/>
  <c r="CO130" i="2"/>
  <c r="CR139" i="2"/>
  <c r="CQ107" i="2"/>
  <c r="CQ55" i="2"/>
  <c r="CP45" i="2"/>
  <c r="CO45" i="2"/>
  <c r="CQ120" i="2"/>
  <c r="CO46" i="2"/>
  <c r="CS115" i="2"/>
  <c r="CS124" i="2"/>
  <c r="CR46" i="2"/>
  <c r="CP46" i="2"/>
  <c r="CQ97" i="2"/>
  <c r="CQ124" i="2"/>
  <c r="CR156" i="2"/>
  <c r="CS166" i="2"/>
  <c r="CS99" i="2"/>
  <c r="CP32" i="2"/>
  <c r="CR32" i="2"/>
  <c r="CR150" i="2"/>
  <c r="CR44" i="2"/>
  <c r="CO32" i="2"/>
  <c r="CS183" i="2"/>
  <c r="CQ133" i="2"/>
  <c r="CO183" i="2"/>
  <c r="CR141" i="2"/>
  <c r="CQ134" i="2"/>
  <c r="CS52" i="2"/>
  <c r="CS128" i="2"/>
  <c r="CP55" i="2"/>
  <c r="CQ84" i="2"/>
  <c r="CQ139" i="2"/>
  <c r="CR128" i="2"/>
  <c r="CQ123" i="2"/>
  <c r="CP58" i="2"/>
  <c r="CO53" i="2"/>
  <c r="CO97" i="2"/>
  <c r="CS90" i="2"/>
  <c r="CR65" i="2"/>
  <c r="CP35" i="2"/>
  <c r="CQ64" i="2"/>
  <c r="CP64" i="2"/>
  <c r="CO123" i="2"/>
  <c r="CQ90" i="2"/>
  <c r="CO147" i="2"/>
  <c r="CS69" i="2"/>
  <c r="CS102" i="2"/>
  <c r="CO64" i="2"/>
  <c r="CS56" i="2"/>
  <c r="CO149" i="2"/>
  <c r="CS142" i="2"/>
  <c r="CR45" i="2"/>
  <c r="CP131" i="2"/>
  <c r="CS139" i="2"/>
  <c r="CO86" i="2"/>
  <c r="CO35" i="2"/>
  <c r="CR102" i="2"/>
  <c r="CO44" i="2"/>
  <c r="CQ7" i="2"/>
  <c r="CS58" i="2"/>
  <c r="CS130" i="2"/>
  <c r="CS125" i="2"/>
  <c r="CQ69" i="2"/>
  <c r="CQ81" i="2"/>
  <c r="CP133" i="2"/>
  <c r="CR116" i="2"/>
  <c r="CR81" i="2"/>
  <c r="CO47" i="2"/>
  <c r="CO133" i="2"/>
  <c r="CR15" i="2"/>
  <c r="CO65" i="2"/>
  <c r="CO118" i="2"/>
  <c r="CS44" i="2"/>
  <c r="CS105" i="2"/>
  <c r="CS150" i="2"/>
  <c r="CS62" i="2"/>
  <c r="CP130" i="2"/>
  <c r="CS133" i="2"/>
  <c r="CQ130" i="2"/>
  <c r="CR7" i="2"/>
  <c r="CP7" i="2"/>
  <c r="CP56" i="2"/>
  <c r="CP12" i="2"/>
  <c r="CR125" i="2"/>
  <c r="CO52" i="2"/>
  <c r="CS156" i="2"/>
  <c r="CR40" i="2"/>
  <c r="CP81" i="2"/>
  <c r="CP47" i="2"/>
  <c r="CP84" i="2"/>
  <c r="CS15" i="2"/>
  <c r="CP61" i="2"/>
  <c r="CQ118" i="2"/>
  <c r="CQ105" i="2"/>
  <c r="CP150" i="2"/>
  <c r="CS45" i="2"/>
  <c r="CS64" i="2"/>
  <c r="CO7" i="2"/>
  <c r="CP49" i="2"/>
  <c r="CP69" i="2"/>
  <c r="CS47" i="2"/>
  <c r="CO9" i="2"/>
  <c r="CO69" i="2"/>
  <c r="CP40" i="2"/>
  <c r="CQ47" i="2"/>
  <c r="CS9" i="2"/>
  <c r="CP15" i="2"/>
  <c r="CP44" i="2"/>
  <c r="CP71" i="2"/>
  <c r="CS94" i="2"/>
  <c r="CP99" i="2"/>
  <c r="CQ149" i="2"/>
  <c r="CS32" i="2"/>
  <c r="CQ70" i="2"/>
  <c r="CS53" i="2"/>
  <c r="CQ157" i="2"/>
  <c r="CR157" i="2"/>
  <c r="CP157" i="2"/>
  <c r="CR120" i="2"/>
  <c r="CR149" i="2"/>
  <c r="CQ104" i="2"/>
  <c r="CO58" i="2"/>
  <c r="CQ40" i="2"/>
  <c r="CP62" i="2"/>
  <c r="CR52" i="2"/>
  <c r="CO156" i="2"/>
  <c r="CQ62" i="2"/>
  <c r="CO84" i="2"/>
  <c r="CS107" i="2"/>
  <c r="CR84" i="2"/>
  <c r="CO139" i="2"/>
  <c r="CS61" i="2"/>
  <c r="CO61" i="2"/>
  <c r="CQ86" i="2"/>
  <c r="CR118" i="2"/>
  <c r="CO70" i="2"/>
  <c r="CP53" i="2"/>
  <c r="CP97" i="2"/>
  <c r="CQ175" i="2"/>
  <c r="CO175" i="2"/>
  <c r="CO94" i="2"/>
  <c r="CP166" i="2"/>
  <c r="CP94" i="2"/>
  <c r="CO128" i="2"/>
  <c r="CP128" i="2"/>
  <c r="CR55" i="2"/>
  <c r="CS55" i="2"/>
  <c r="CR110" i="2"/>
  <c r="CO110" i="2"/>
  <c r="CR53" i="2"/>
  <c r="CP86" i="2"/>
  <c r="CP149" i="2"/>
  <c r="CP110" i="2"/>
  <c r="CQ182" i="2"/>
  <c r="CR99" i="2"/>
  <c r="CS110" i="2"/>
  <c r="CR142" i="2"/>
  <c r="CQ110" i="2"/>
  <c r="CQ52" i="2"/>
  <c r="CP156" i="2"/>
  <c r="CP107" i="2"/>
  <c r="CQ166" i="2"/>
  <c r="CS65" i="2"/>
  <c r="CQ61" i="2"/>
  <c r="CR86" i="2"/>
  <c r="CS70" i="2"/>
  <c r="CO157" i="2"/>
  <c r="CQ46" i="2"/>
  <c r="CO102" i="2"/>
  <c r="CR97" i="2"/>
  <c r="CR94" i="2"/>
  <c r="CR175" i="2"/>
  <c r="CP175" i="2"/>
  <c r="CO166" i="2"/>
  <c r="CO164" i="2"/>
  <c r="CP164" i="2"/>
  <c r="CP93" i="2"/>
  <c r="CS66" i="2"/>
  <c r="CP106" i="2"/>
  <c r="CO106" i="2"/>
  <c r="CQ106" i="2"/>
  <c r="CS106" i="2"/>
  <c r="CO173" i="2"/>
  <c r="CR173" i="2"/>
  <c r="CR182" i="2"/>
  <c r="CP152" i="2"/>
  <c r="CS143" i="2"/>
  <c r="CO143" i="2"/>
  <c r="CR143" i="2"/>
  <c r="CQ143" i="2"/>
  <c r="CS182" i="2"/>
  <c r="CS152" i="2"/>
  <c r="CQ66" i="2"/>
  <c r="CR56" i="2"/>
  <c r="CO56" i="2"/>
  <c r="CQ58" i="2"/>
  <c r="CP104" i="2"/>
  <c r="CQ164" i="2"/>
  <c r="CS123" i="2"/>
  <c r="CS49" i="2"/>
  <c r="CO142" i="2"/>
  <c r="CQ168" i="2"/>
  <c r="CP134" i="2"/>
  <c r="CR134" i="2"/>
  <c r="CS134" i="2"/>
  <c r="CO171" i="2"/>
  <c r="CS78" i="2"/>
  <c r="CQ99" i="2"/>
  <c r="CP168" i="2"/>
  <c r="CR168" i="2"/>
  <c r="CS116" i="2"/>
  <c r="CQ17" i="2"/>
  <c r="CS93" i="2"/>
  <c r="CS117" i="2"/>
  <c r="CQ117" i="2"/>
  <c r="CS81" i="2"/>
  <c r="CR9" i="2"/>
  <c r="CP9" i="2"/>
  <c r="CP124" i="2"/>
  <c r="CR5" i="2"/>
  <c r="CO5" i="2"/>
  <c r="CS147" i="2"/>
  <c r="CO15" i="2"/>
  <c r="CP65" i="2"/>
  <c r="CP118" i="2"/>
  <c r="CP70" i="2"/>
  <c r="CR105" i="2"/>
  <c r="CO150" i="2"/>
  <c r="CO17" i="2"/>
  <c r="CQ183" i="2"/>
  <c r="CO68" i="2"/>
  <c r="CR35" i="2"/>
  <c r="CO115" i="2"/>
  <c r="CR89" i="2"/>
  <c r="CP89" i="2"/>
  <c r="CP115" i="2"/>
  <c r="CP17" i="2"/>
  <c r="CO127" i="2"/>
  <c r="CP78" i="2"/>
  <c r="CQ147" i="2"/>
  <c r="CR124" i="2"/>
  <c r="CS5" i="2"/>
  <c r="CR147" i="2"/>
  <c r="CP68" i="2"/>
  <c r="CQ35" i="2"/>
  <c r="CP98" i="2"/>
  <c r="CO98" i="2"/>
  <c r="CS98" i="2"/>
  <c r="CR98" i="2"/>
  <c r="CS164" i="2"/>
  <c r="CS168" i="2"/>
  <c r="CQ127" i="2"/>
  <c r="CP117" i="2"/>
  <c r="CO131" i="2"/>
  <c r="CS131" i="2"/>
  <c r="CP171" i="2"/>
  <c r="CQ115" i="2"/>
  <c r="CS17" i="2"/>
  <c r="CP127" i="2"/>
  <c r="CR78" i="2"/>
  <c r="CO107" i="2"/>
  <c r="CP141" i="2"/>
  <c r="CO141" i="2"/>
  <c r="CS71" i="2"/>
  <c r="CR71" i="2"/>
  <c r="CQ68" i="2"/>
  <c r="CR68" i="2"/>
  <c r="CQ89" i="2"/>
  <c r="CQ39" i="2"/>
  <c r="CR39" i="2"/>
  <c r="CS39" i="2"/>
  <c r="CO39" i="2"/>
  <c r="CP132" i="2"/>
  <c r="CR132" i="2"/>
  <c r="CS112" i="2"/>
  <c r="CP112" i="2"/>
  <c r="CO112" i="2"/>
  <c r="CR112" i="2"/>
  <c r="CP6" i="2"/>
  <c r="CS6" i="2"/>
  <c r="CO6" i="2"/>
  <c r="CQ6" i="2"/>
  <c r="CO152" i="2"/>
  <c r="CP173" i="2"/>
  <c r="CQ12" i="2"/>
  <c r="CO12" i="2"/>
  <c r="CQ132" i="2"/>
  <c r="CQ49" i="2"/>
  <c r="CP182" i="2"/>
  <c r="CS173" i="2"/>
  <c r="CO93" i="2"/>
  <c r="CR66" i="2"/>
  <c r="CR164" i="2"/>
  <c r="CR90" i="2"/>
  <c r="CO90" i="2"/>
  <c r="CP39" i="2"/>
  <c r="CR12" i="2"/>
  <c r="CO125" i="2"/>
  <c r="CP125" i="2"/>
  <c r="CS132" i="2"/>
  <c r="CS104" i="2"/>
  <c r="CR49" i="2"/>
  <c r="CQ93" i="2"/>
  <c r="CR104" i="2"/>
  <c r="CQ142" i="2"/>
  <c r="CR6" i="2"/>
  <c r="CQ112" i="2"/>
  <c r="CP66" i="2"/>
  <c r="CO116" i="2"/>
  <c r="CR106" i="2"/>
  <c r="CR117" i="2"/>
  <c r="CR131" i="2"/>
  <c r="CR171" i="2"/>
  <c r="CO158" i="2"/>
  <c r="CR158" i="2"/>
  <c r="CQ158" i="2"/>
  <c r="CP158" i="2"/>
  <c r="CR144" i="2"/>
  <c r="CQ144" i="2"/>
  <c r="CP144" i="2"/>
  <c r="CO144" i="2"/>
  <c r="CQ83" i="2"/>
  <c r="CO83" i="2"/>
  <c r="CS83" i="2"/>
  <c r="CR83" i="2"/>
  <c r="CQ176" i="2"/>
  <c r="CR176" i="2"/>
  <c r="CP176" i="2"/>
  <c r="CS176" i="2"/>
  <c r="CQ152" i="2"/>
  <c r="CR123" i="2"/>
  <c r="CP116" i="2"/>
  <c r="CP105" i="2"/>
  <c r="CS127" i="2"/>
  <c r="CR183" i="2"/>
  <c r="CS141" i="2"/>
  <c r="CQ71" i="2"/>
  <c r="CQ171" i="2"/>
  <c r="CS89" i="2"/>
  <c r="CQ78" i="2"/>
  <c r="S21" i="2" l="1"/>
  <c r="L21" i="2" s="1"/>
  <c r="S25" i="2"/>
  <c r="L25" i="2" s="1"/>
  <c r="CB179" i="2" s="1"/>
  <c r="CC179" i="2" s="1"/>
  <c r="S24" i="2"/>
  <c r="L24" i="2" s="1"/>
  <c r="S23" i="2"/>
  <c r="L23" i="2" s="1"/>
  <c r="CB18" i="2" s="1"/>
  <c r="CC18" i="2" s="1"/>
  <c r="S28" i="2"/>
  <c r="L28" i="2" s="1"/>
  <c r="CB75" i="2" s="1"/>
  <c r="CC75" i="2" s="1"/>
  <c r="S26" i="2"/>
  <c r="L26" i="2" s="1"/>
  <c r="CB30" i="2" s="1"/>
  <c r="CC30" i="2" s="1"/>
  <c r="CQ75" i="2" l="1"/>
  <c r="CO75" i="2"/>
  <c r="CR75" i="2"/>
  <c r="CP75" i="2"/>
  <c r="CS75" i="2"/>
  <c r="CS18" i="2"/>
  <c r="CP18" i="2"/>
  <c r="CO18" i="2"/>
  <c r="CQ18" i="2"/>
  <c r="CR18" i="2"/>
  <c r="CO30" i="2"/>
  <c r="CQ30" i="2"/>
  <c r="CR30" i="2"/>
  <c r="CP30" i="2"/>
  <c r="CS30" i="2"/>
  <c r="CB16" i="2"/>
  <c r="CC16" i="2" s="1"/>
  <c r="CR16" i="2" s="1"/>
  <c r="CB19" i="2"/>
  <c r="CC19" i="2" s="1"/>
  <c r="CB11" i="2"/>
  <c r="CC11" i="2" s="1"/>
  <c r="CO11" i="2" s="1"/>
  <c r="CB31" i="2"/>
  <c r="CC31" i="2" s="1"/>
  <c r="CB50" i="2"/>
  <c r="CC50" i="2" s="1"/>
  <c r="CO50" i="2" s="1"/>
  <c r="CB60" i="2"/>
  <c r="CC60" i="2" s="1"/>
  <c r="H21" i="2"/>
  <c r="BV21" i="2" s="1"/>
  <c r="BX21" i="2" s="1"/>
  <c r="BY21" i="2" s="1"/>
  <c r="CB154" i="2"/>
  <c r="CC154" i="2" s="1"/>
  <c r="CB14" i="2"/>
  <c r="CC14" i="2" s="1"/>
  <c r="CQ14" i="2" s="1"/>
  <c r="CB10" i="2"/>
  <c r="CC10" i="2" s="1"/>
  <c r="CB184" i="2"/>
  <c r="CC184" i="2" s="1"/>
  <c r="CP184" i="2" s="1"/>
  <c r="CB178" i="2"/>
  <c r="CC178" i="2" s="1"/>
  <c r="CR179" i="2"/>
  <c r="CS179" i="2"/>
  <c r="CO179" i="2"/>
  <c r="CQ179" i="2"/>
  <c r="CP179" i="2"/>
  <c r="CB25" i="2"/>
  <c r="CC25" i="2" s="1"/>
  <c r="CS25" i="2" s="1"/>
  <c r="CB29" i="2"/>
  <c r="CC29" i="2" s="1"/>
  <c r="CB24" i="2"/>
  <c r="CC24" i="2" s="1"/>
  <c r="CS24" i="2" s="1"/>
  <c r="CB193" i="2"/>
  <c r="CC193" i="2" s="1"/>
  <c r="CB28" i="2"/>
  <c r="CC28" i="2" s="1"/>
  <c r="CR28" i="2" s="1"/>
  <c r="CB59" i="2"/>
  <c r="CC59" i="2" s="1"/>
  <c r="CB113" i="2"/>
  <c r="CC113" i="2" s="1"/>
  <c r="CQ113" i="2" s="1"/>
  <c r="CB72" i="2"/>
  <c r="CC72" i="2" s="1"/>
  <c r="CB27" i="2"/>
  <c r="CC27" i="2" s="1"/>
  <c r="CQ27" i="2" s="1"/>
  <c r="H28" i="2"/>
  <c r="BV28" i="2" s="1"/>
  <c r="BX28" i="2" s="1"/>
  <c r="BY28" i="2" s="1"/>
  <c r="H23" i="2"/>
  <c r="BV23" i="2" s="1"/>
  <c r="BX23" i="2" s="1"/>
  <c r="BY23" i="2" s="1"/>
  <c r="CB22" i="2"/>
  <c r="CC22" i="2" s="1"/>
  <c r="CO22" i="2" s="1"/>
  <c r="CB26" i="2"/>
  <c r="CC26" i="2" s="1"/>
  <c r="CP26" i="2" s="1"/>
  <c r="H24" i="2"/>
  <c r="BV24" i="2" s="1"/>
  <c r="BX24" i="2" s="1"/>
  <c r="BY24" i="2" s="1"/>
  <c r="CB23" i="2"/>
  <c r="CC23" i="2" s="1"/>
  <c r="H26" i="2"/>
  <c r="BV26" i="2" s="1"/>
  <c r="BX26" i="2" s="1"/>
  <c r="BY26" i="2" s="1"/>
  <c r="H25" i="2"/>
  <c r="BV25" i="2" s="1"/>
  <c r="BX25" i="2" s="1"/>
  <c r="BY25" i="2" s="1"/>
  <c r="CQ184" i="2" l="1"/>
  <c r="CS11" i="2"/>
  <c r="CO25" i="2"/>
  <c r="CO24" i="2"/>
  <c r="CR184" i="2"/>
  <c r="CQ25" i="2"/>
  <c r="CP25" i="2"/>
  <c r="CR25" i="2"/>
  <c r="CQ16" i="2"/>
  <c r="CP24" i="2"/>
  <c r="CQ24" i="2"/>
  <c r="CP11" i="2"/>
  <c r="CR11" i="2"/>
  <c r="CO16" i="2"/>
  <c r="CQ11" i="2"/>
  <c r="CR24" i="2"/>
  <c r="CP16" i="2"/>
  <c r="CS16" i="2"/>
  <c r="CR19" i="2"/>
  <c r="CP19" i="2"/>
  <c r="CO19" i="2"/>
  <c r="CQ19" i="2"/>
  <c r="CS19" i="2"/>
  <c r="CS50" i="2"/>
  <c r="CR50" i="2"/>
  <c r="CS31" i="2"/>
  <c r="CO31" i="2"/>
  <c r="CR31" i="2"/>
  <c r="CP31" i="2"/>
  <c r="CQ31" i="2"/>
  <c r="CQ50" i="2"/>
  <c r="CP50" i="2"/>
  <c r="CP60" i="2"/>
  <c r="CQ60" i="2"/>
  <c r="CS60" i="2"/>
  <c r="CR60" i="2"/>
  <c r="CO60" i="2"/>
  <c r="CO14" i="2"/>
  <c r="CR14" i="2"/>
  <c r="CO184" i="2"/>
  <c r="CQ28" i="2"/>
  <c r="CP14" i="2"/>
  <c r="CS14" i="2"/>
  <c r="CS184" i="2"/>
  <c r="CR178" i="2"/>
  <c r="CO178" i="2"/>
  <c r="CQ178" i="2"/>
  <c r="CP178" i="2"/>
  <c r="CS178" i="2"/>
  <c r="CS154" i="2"/>
  <c r="CR154" i="2"/>
  <c r="CQ154" i="2"/>
  <c r="CP154" i="2"/>
  <c r="CO154" i="2"/>
  <c r="CS10" i="2"/>
  <c r="CO10" i="2"/>
  <c r="CP10" i="2"/>
  <c r="CR10" i="2"/>
  <c r="CQ10" i="2"/>
  <c r="CS28" i="2"/>
  <c r="CP28" i="2"/>
  <c r="CQ59" i="2"/>
  <c r="CS59" i="2"/>
  <c r="CO59" i="2"/>
  <c r="CP59" i="2"/>
  <c r="CR59" i="2"/>
  <c r="CO29" i="2"/>
  <c r="CS29" i="2"/>
  <c r="CP29" i="2"/>
  <c r="CQ29" i="2"/>
  <c r="CR29" i="2"/>
  <c r="CS193" i="2"/>
  <c r="CO193" i="2"/>
  <c r="CR193" i="2"/>
  <c r="CP193" i="2"/>
  <c r="CQ193" i="2"/>
  <c r="CO28" i="2"/>
  <c r="CR113" i="2"/>
  <c r="CS113" i="2"/>
  <c r="CP113" i="2"/>
  <c r="CO113" i="2"/>
  <c r="CR72" i="2"/>
  <c r="CS72" i="2"/>
  <c r="CQ72" i="2"/>
  <c r="CP72" i="2"/>
  <c r="CO72" i="2"/>
  <c r="CS27" i="2"/>
  <c r="CR27" i="2"/>
  <c r="CP27" i="2"/>
  <c r="CO27" i="2"/>
  <c r="CS22" i="2"/>
  <c r="CR22" i="2"/>
  <c r="CP22" i="2"/>
  <c r="CQ22" i="2"/>
  <c r="CR26" i="2"/>
  <c r="CO26" i="2"/>
  <c r="CS26" i="2"/>
  <c r="CQ26" i="2"/>
  <c r="CQ23" i="2"/>
  <c r="CS23" i="2"/>
  <c r="CP23" i="2"/>
  <c r="CR23" i="2"/>
  <c r="CO23" i="2"/>
  <c r="S170" i="2"/>
  <c r="L170" i="2" s="1"/>
  <c r="CB170" i="2" l="1"/>
  <c r="CC170" i="2" s="1"/>
  <c r="CP170" i="2" s="1"/>
  <c r="CB174" i="2"/>
  <c r="CC174" i="2" s="1"/>
  <c r="CB167" i="2"/>
  <c r="CC167" i="2" s="1"/>
  <c r="CO167" i="2" s="1"/>
  <c r="CB169" i="2"/>
  <c r="CC169" i="2" s="1"/>
  <c r="CB161" i="2"/>
  <c r="CC161" i="2" s="1"/>
  <c r="CP161" i="2" s="1"/>
  <c r="CB163" i="2"/>
  <c r="CC163" i="2" s="1"/>
  <c r="H170" i="2"/>
  <c r="BV170" i="2" s="1"/>
  <c r="BX170" i="2" s="1"/>
  <c r="BY170" i="2" s="1"/>
  <c r="BY250" i="2" s="1"/>
  <c r="CB21" i="2"/>
  <c r="CC21" i="2" s="1"/>
  <c r="CQ21" i="2" s="1"/>
  <c r="CQ170" i="2" l="1"/>
  <c r="CO170" i="2"/>
  <c r="CR170" i="2"/>
  <c r="CS170" i="2"/>
  <c r="CR174" i="2"/>
  <c r="CS174" i="2"/>
  <c r="CQ174" i="2"/>
  <c r="CO174" i="2"/>
  <c r="CP174" i="2"/>
  <c r="CR167" i="2"/>
  <c r="CP167" i="2"/>
  <c r="CQ167" i="2"/>
  <c r="CS167" i="2"/>
  <c r="CQ169" i="2"/>
  <c r="CP169" i="2"/>
  <c r="CS169" i="2"/>
  <c r="CR169" i="2"/>
  <c r="CO169" i="2"/>
  <c r="CR161" i="2"/>
  <c r="CS161" i="2"/>
  <c r="CO161" i="2"/>
  <c r="CQ161" i="2"/>
  <c r="CB250" i="2"/>
  <c r="CB3" i="2" s="1"/>
  <c r="CR163" i="2"/>
  <c r="CP163" i="2"/>
  <c r="CO163" i="2"/>
  <c r="CS163" i="2"/>
  <c r="CQ163" i="2"/>
  <c r="CS21" i="2"/>
  <c r="CP21" i="2"/>
  <c r="CO21" i="2"/>
  <c r="CR21" i="2"/>
  <c r="CP250" i="2" l="1"/>
  <c r="CP3" i="2" s="1"/>
  <c r="CQ250" i="2"/>
  <c r="CQ3" i="2" s="1"/>
  <c r="CR250" i="2"/>
  <c r="CR3" i="2" s="1"/>
  <c r="CO250" i="2"/>
  <c r="CO3" i="2" s="1"/>
  <c r="CS250" i="2"/>
  <c r="CS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I79" authorId="0" shapeId="0" xr:uid="{4E48BE2E-38AB-44F5-871E-75CC8820602A}">
      <text>
        <r>
          <rPr>
            <b/>
            <sz val="9"/>
            <color indexed="81"/>
            <rFont val="Tahoma"/>
            <family val="2"/>
          </rPr>
          <t>Sjoerd Jaarsma:</t>
        </r>
        <r>
          <rPr>
            <sz val="9"/>
            <color indexed="81"/>
            <rFont val="Tahoma"/>
            <family val="2"/>
          </rPr>
          <t xml:space="preserve">
ouder gemaakt 2010
</t>
        </r>
      </text>
    </comment>
    <comment ref="I107"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<sst xmlns="http://schemas.openxmlformats.org/spreadsheetml/2006/main" count="2570" uniqueCount="803">
  <si>
    <t>Overzicht deelname JPT seizoen 2023/2024</t>
  </si>
  <si>
    <t>maand</t>
  </si>
  <si>
    <t>locatie</t>
  </si>
  <si>
    <t>Floret KW</t>
  </si>
  <si>
    <t>Floret GW</t>
  </si>
  <si>
    <t>Sabel KW</t>
  </si>
  <si>
    <t>Sabel GW</t>
  </si>
  <si>
    <t>Degen KW</t>
  </si>
  <si>
    <t>Degen GW</t>
  </si>
  <si>
    <t>aantal deelnemers</t>
  </si>
  <si>
    <t>aantal scheidsrechters</t>
  </si>
  <si>
    <t>elektrisch</t>
  </si>
  <si>
    <t>sep</t>
  </si>
  <si>
    <t>Tilburg</t>
  </si>
  <si>
    <t>volledig</t>
  </si>
  <si>
    <t>okt</t>
  </si>
  <si>
    <t>Klundert</t>
  </si>
  <si>
    <t>nov</t>
  </si>
  <si>
    <t>Schiedam</t>
  </si>
  <si>
    <t>dec</t>
  </si>
  <si>
    <t>Eefde</t>
  </si>
  <si>
    <t>jan</t>
  </si>
  <si>
    <t xml:space="preserve">Baarn </t>
  </si>
  <si>
    <t>feb</t>
  </si>
  <si>
    <t>Utrecht</t>
  </si>
  <si>
    <t>mrt</t>
  </si>
  <si>
    <t>Best</t>
  </si>
  <si>
    <t>apr</t>
  </si>
  <si>
    <t>mei</t>
  </si>
  <si>
    <t>jun</t>
  </si>
  <si>
    <t xml:space="preserve">Lent </t>
  </si>
  <si>
    <t>Totaal</t>
  </si>
  <si>
    <t>JPT 1 - SEP</t>
  </si>
  <si>
    <t>JPT 4 - DEC</t>
  </si>
  <si>
    <t>JPT 7 - MRT</t>
  </si>
  <si>
    <t>JPT 10 - JUN</t>
  </si>
  <si>
    <t>STATISTIEKEN</t>
  </si>
  <si>
    <t>JPT 2 - OKT</t>
  </si>
  <si>
    <t>JPT 5 - JAN</t>
  </si>
  <si>
    <t>JPT 8 - APR</t>
  </si>
  <si>
    <t xml:space="preserve">DIPLOMA'S </t>
  </si>
  <si>
    <t>rekenkolom in 2024/2025 corrigeren</t>
  </si>
  <si>
    <t>punten dit jaar boven 600</t>
  </si>
  <si>
    <t>meer dan 7 toernooien</t>
  </si>
  <si>
    <t>passeert 1000</t>
  </si>
  <si>
    <t>passeert 1500</t>
  </si>
  <si>
    <t>passeert 2000</t>
  </si>
  <si>
    <t>passeert 2500</t>
  </si>
  <si>
    <t>passeert 3000</t>
  </si>
  <si>
    <t>JPT 3 - NOV</t>
  </si>
  <si>
    <t>JPT 6  - FEB</t>
  </si>
  <si>
    <t>JPT 9 - MEI</t>
  </si>
  <si>
    <t>SEPTEMBER</t>
  </si>
  <si>
    <t>OKTOBER</t>
  </si>
  <si>
    <t>NOVEMBER</t>
  </si>
  <si>
    <t>DECEMBER</t>
  </si>
  <si>
    <t>JANUARI</t>
  </si>
  <si>
    <t>FEBRUARI</t>
  </si>
  <si>
    <t>MAART</t>
  </si>
  <si>
    <t>APRIL</t>
  </si>
  <si>
    <t>MEI</t>
  </si>
  <si>
    <t>JUNI</t>
  </si>
  <si>
    <t>DIPLOMA'S</t>
  </si>
  <si>
    <t>wapen</t>
  </si>
  <si>
    <t>aanwezigheid</t>
  </si>
  <si>
    <t>betaald</t>
  </si>
  <si>
    <t>Naam</t>
  </si>
  <si>
    <t>KNAS nr</t>
  </si>
  <si>
    <t>Vereniging</t>
  </si>
  <si>
    <t>Totaal Punten</t>
  </si>
  <si>
    <t>Geboren</t>
  </si>
  <si>
    <t>ijkdatum</t>
  </si>
  <si>
    <t>Leeftijd</t>
  </si>
  <si>
    <t>pnt 2022/2023</t>
  </si>
  <si>
    <t>pnt t/m 2021/22</t>
  </si>
  <si>
    <t>LPR 1</t>
  </si>
  <si>
    <t>AW 1</t>
  </si>
  <si>
    <t>V 1</t>
  </si>
  <si>
    <t>GT 1</t>
  </si>
  <si>
    <t>BONUS 1</t>
  </si>
  <si>
    <t>TTL 1</t>
  </si>
  <si>
    <t>LPR 2</t>
  </si>
  <si>
    <t>AW 2</t>
  </si>
  <si>
    <t>V 2</t>
  </si>
  <si>
    <t>GT 2</t>
  </si>
  <si>
    <t>BONUS 2</t>
  </si>
  <si>
    <t>TTL 2</t>
  </si>
  <si>
    <t>LPR 3</t>
  </si>
  <si>
    <t>AW 3</t>
  </si>
  <si>
    <t>V 3</t>
  </si>
  <si>
    <t>GT 3</t>
  </si>
  <si>
    <t>BONUS 3</t>
  </si>
  <si>
    <t>TTL 3</t>
  </si>
  <si>
    <t>LPR 4</t>
  </si>
  <si>
    <t>AW 4</t>
  </si>
  <si>
    <t>V 4</t>
  </si>
  <si>
    <t>GT 4</t>
  </si>
  <si>
    <t>BONUS 4</t>
  </si>
  <si>
    <t>TTL 4</t>
  </si>
  <si>
    <t>LPR 5</t>
  </si>
  <si>
    <t>AW 5</t>
  </si>
  <si>
    <t>V 5</t>
  </si>
  <si>
    <t>GT 5</t>
  </si>
  <si>
    <t>BONUS 5</t>
  </si>
  <si>
    <t>TTL 5</t>
  </si>
  <si>
    <t>LPR 6</t>
  </si>
  <si>
    <t>AW 6</t>
  </si>
  <si>
    <t>V 6</t>
  </si>
  <si>
    <t>GT 6</t>
  </si>
  <si>
    <t>BONUS 6</t>
  </si>
  <si>
    <t>TTL 6</t>
  </si>
  <si>
    <t>LPR 7</t>
  </si>
  <si>
    <t>AW 7</t>
  </si>
  <si>
    <t>V 7</t>
  </si>
  <si>
    <t>GT 7</t>
  </si>
  <si>
    <t>BONUS 7</t>
  </si>
  <si>
    <t>TTL 7</t>
  </si>
  <si>
    <t>LPR 8</t>
  </si>
  <si>
    <t>AW 8</t>
  </si>
  <si>
    <t>V 8</t>
  </si>
  <si>
    <t>GT 8</t>
  </si>
  <si>
    <t>BONUS 8</t>
  </si>
  <si>
    <t>TTL 8</t>
  </si>
  <si>
    <t>LPR 9</t>
  </si>
  <si>
    <t>AW 9</t>
  </si>
  <si>
    <t>V 9</t>
  </si>
  <si>
    <t>GT 9</t>
  </si>
  <si>
    <t>BONUS 9</t>
  </si>
  <si>
    <t>TTL 9</t>
  </si>
  <si>
    <t>LPR 10</t>
  </si>
  <si>
    <t>AW 10</t>
  </si>
  <si>
    <t>V 10</t>
  </si>
  <si>
    <t>GT 10</t>
  </si>
  <si>
    <t>BONUS 10</t>
  </si>
  <si>
    <t>TTL 10</t>
  </si>
  <si>
    <t>Diploma</t>
  </si>
  <si>
    <t>Uitgeschreven</t>
  </si>
  <si>
    <t>contr</t>
  </si>
  <si>
    <t>Actie</t>
  </si>
  <si>
    <t>begin seizoen</t>
  </si>
  <si>
    <t>punten seizoen</t>
  </si>
  <si>
    <t>huidige stand</t>
  </si>
  <si>
    <t>deelname</t>
  </si>
  <si>
    <t>1000</t>
  </si>
  <si>
    <t>1500</t>
  </si>
  <si>
    <t>2000</t>
  </si>
  <si>
    <t>2500</t>
  </si>
  <si>
    <t>3000</t>
  </si>
  <si>
    <t>DG</t>
  </si>
  <si>
    <t>ja</t>
  </si>
  <si>
    <t>abonnement</t>
  </si>
  <si>
    <t>AANTJES Rens</t>
  </si>
  <si>
    <t>Fencing Ermelo</t>
  </si>
  <si>
    <t>FK</t>
  </si>
  <si>
    <t>AARTS Jente</t>
  </si>
  <si>
    <t>Beau Geste</t>
  </si>
  <si>
    <t>FG</t>
  </si>
  <si>
    <t>nee</t>
  </si>
  <si>
    <t>ADAMS Mike</t>
  </si>
  <si>
    <t>SG</t>
  </si>
  <si>
    <t>deels</t>
  </si>
  <si>
    <t>AFELTRA Alessio</t>
  </si>
  <si>
    <t>Vívás</t>
  </si>
  <si>
    <t>nog niet</t>
  </si>
  <si>
    <t>ALBANO  Bautista</t>
  </si>
  <si>
    <t>SC Den Bosch</t>
  </si>
  <si>
    <t>ALIJEV Daniël</t>
  </si>
  <si>
    <t>Surtout</t>
  </si>
  <si>
    <t>AMUOIN Maurits</t>
  </si>
  <si>
    <t>Schermclub Den Bosch</t>
  </si>
  <si>
    <t>ANKER Jade</t>
  </si>
  <si>
    <t>Trefpunt Vlaardingen</t>
  </si>
  <si>
    <t>ANKER Mees</t>
  </si>
  <si>
    <t>DK</t>
  </si>
  <si>
    <t>APENHORST Feije</t>
  </si>
  <si>
    <t>Twentse sv Agilité</t>
  </si>
  <si>
    <t>ARSLAN Alp</t>
  </si>
  <si>
    <t>ARSLAN Selin</t>
  </si>
  <si>
    <t>BENJAMINS Storm</t>
  </si>
  <si>
    <t>Porthos</t>
  </si>
  <si>
    <t>BERKERS Jasper</t>
  </si>
  <si>
    <t>La Prime</t>
  </si>
  <si>
    <t>BODDEUS Lasse</t>
  </si>
  <si>
    <t>SC Midden Nederland</t>
  </si>
  <si>
    <t>BOECKHORST Sam</t>
  </si>
  <si>
    <t>3 Musketiers</t>
  </si>
  <si>
    <t>BOINK Jefta</t>
  </si>
  <si>
    <t>En garde</t>
  </si>
  <si>
    <t>BOLIER Jasmijn</t>
  </si>
  <si>
    <t>BOUW Tygo</t>
  </si>
  <si>
    <t>SK</t>
  </si>
  <si>
    <t>BOXEM Lucca</t>
  </si>
  <si>
    <t>Soo Lancelot</t>
  </si>
  <si>
    <t>BOXEM Renzo</t>
  </si>
  <si>
    <t>BRAMER Joris</t>
  </si>
  <si>
    <t>Vrijbuiters</t>
  </si>
  <si>
    <t>BRANDSEN Lars Pieter</t>
  </si>
  <si>
    <t>BROERS Fiene</t>
  </si>
  <si>
    <t>TSV Rapier</t>
  </si>
  <si>
    <t>BROOS Morris</t>
  </si>
  <si>
    <t>BUDDING Quinten</t>
  </si>
  <si>
    <t>Pallos</t>
  </si>
  <si>
    <t>BUSSCHERS Nikolai</t>
  </si>
  <si>
    <t>Gascogne</t>
  </si>
  <si>
    <t>CAKIR Can</t>
  </si>
  <si>
    <t>CANKAYA Mert Can</t>
  </si>
  <si>
    <t>En Garde</t>
  </si>
  <si>
    <t>CHABOT Arthur</t>
  </si>
  <si>
    <t>CLAASSEN Melle</t>
  </si>
  <si>
    <t>DE BOER Mauk</t>
  </si>
  <si>
    <t>DE BOER Vince</t>
  </si>
  <si>
    <t>De Jordaan</t>
  </si>
  <si>
    <t>DE BOT Youri</t>
  </si>
  <si>
    <t>Scaramouche</t>
  </si>
  <si>
    <t>DE GRAAF Elise</t>
  </si>
  <si>
    <t>DE HAAN Ed</t>
  </si>
  <si>
    <t>DE HAAS Max</t>
  </si>
  <si>
    <t>Schermcentrum Noord</t>
  </si>
  <si>
    <t>DE JAGER Maas</t>
  </si>
  <si>
    <t>DE JESUS CUNHA Nino</t>
  </si>
  <si>
    <t>DE JONG Jelte</t>
  </si>
  <si>
    <t>DE MEERSSEMAN Noël</t>
  </si>
  <si>
    <t>DE NIJS Mats</t>
  </si>
  <si>
    <t>DE VOOGD Zachary</t>
  </si>
  <si>
    <t>AEW</t>
  </si>
  <si>
    <t>DE VOS Jochem</t>
  </si>
  <si>
    <t>DE VRIES Tim</t>
  </si>
  <si>
    <t>DE VRIES Wouter</t>
  </si>
  <si>
    <t>DECKERS Daan</t>
  </si>
  <si>
    <t>La Rapière</t>
  </si>
  <si>
    <t>DURICA Cedric</t>
  </si>
  <si>
    <t>EIKELENBOOM Max</t>
  </si>
  <si>
    <t>RobbSchermen</t>
  </si>
  <si>
    <t>ERMENS Tom</t>
  </si>
  <si>
    <t>FABER Kiki</t>
  </si>
  <si>
    <t>FEBERWEE Elin</t>
  </si>
  <si>
    <t>FRANCISSEN Steyn</t>
  </si>
  <si>
    <t>GAASENBEEK Floris</t>
  </si>
  <si>
    <t>GANG Kevin Wan Ze</t>
  </si>
  <si>
    <t>GREVENSTUK Victor</t>
  </si>
  <si>
    <t>Robbschermen</t>
  </si>
  <si>
    <t>GROENENDIJK Tibbe-Jan</t>
  </si>
  <si>
    <t>GROOTJANS Cristiaan</t>
  </si>
  <si>
    <t>GUL Kaan</t>
  </si>
  <si>
    <t>GUNS Mauk</t>
  </si>
  <si>
    <t>HADITHI Faris-palko</t>
  </si>
  <si>
    <t>HANNING Pelle</t>
  </si>
  <si>
    <t>HARDEMAN Tessa</t>
  </si>
  <si>
    <t>HARTLOOPER Sam</t>
  </si>
  <si>
    <t>HARTOG Pleun</t>
  </si>
  <si>
    <t>HEINO Sander</t>
  </si>
  <si>
    <t>HIETBRINK Gwendola</t>
  </si>
  <si>
    <t>HILLEN Nova</t>
  </si>
  <si>
    <t>HOENDERS Stijn</t>
  </si>
  <si>
    <t>HOFSTEENGE Quinten</t>
  </si>
  <si>
    <t>HOOGENDOORN David</t>
  </si>
  <si>
    <t>IN DEN HAAK Joost</t>
  </si>
  <si>
    <t>JANSEN Sverre</t>
  </si>
  <si>
    <t>JANSSEN Suze</t>
  </si>
  <si>
    <t>JELLETICH Anastasia</t>
  </si>
  <si>
    <t>KATSMAN Koen</t>
  </si>
  <si>
    <t>KEMPINGA Berend</t>
  </si>
  <si>
    <t>KOOPMANS Eliza</t>
  </si>
  <si>
    <t>Schermen Rotterdam Zaïr</t>
  </si>
  <si>
    <t>KORNEV Ilia</t>
  </si>
  <si>
    <t>KOSINKA Adam</t>
  </si>
  <si>
    <t>KRAUS Aaron</t>
  </si>
  <si>
    <t>KROTTJE Quinten</t>
  </si>
  <si>
    <t>KRUIT Samuel</t>
  </si>
  <si>
    <t>KULISIC Vasilije</t>
  </si>
  <si>
    <t>KURIAKOSE Nova</t>
  </si>
  <si>
    <t>LEIJEN Bruno</t>
  </si>
  <si>
    <t>LENDERINK Rik</t>
  </si>
  <si>
    <t>LENTING DJ</t>
  </si>
  <si>
    <t>l'Assaillant</t>
  </si>
  <si>
    <t>LENTING Nathan</t>
  </si>
  <si>
    <t>LESZCZYNKI Leon</t>
  </si>
  <si>
    <t>LOISEAU JIMENEZ Alvaro</t>
  </si>
  <si>
    <t>LUKASSE Hannah</t>
  </si>
  <si>
    <t>MAES Gillian</t>
  </si>
  <si>
    <t>MEEVIS Arne</t>
  </si>
  <si>
    <t>MEEVIS Jurre</t>
  </si>
  <si>
    <t>MEEVIS Lennert</t>
  </si>
  <si>
    <t>MEIJ  Jort</t>
  </si>
  <si>
    <t>MINDERAA Timo</t>
  </si>
  <si>
    <t>MOKHTARI Parsa</t>
  </si>
  <si>
    <t>MULDER Selena</t>
  </si>
  <si>
    <t>MUNNIKSMA Luuk</t>
  </si>
  <si>
    <t>118362 </t>
  </si>
  <si>
    <t>MYNOTT Joshua</t>
  </si>
  <si>
    <t>NAIDONOVA Nadiia</t>
  </si>
  <si>
    <t>NGUYEN Sam</t>
  </si>
  <si>
    <t>NOWICKI Niko</t>
  </si>
  <si>
    <t>NURVER Kuzey</t>
  </si>
  <si>
    <t>NURVER Rùzgar</t>
  </si>
  <si>
    <t>OKSÜZTEPE Zafer</t>
  </si>
  <si>
    <t>OPPENHUIZEN Samuel</t>
  </si>
  <si>
    <t>OPPERS Shuai</t>
  </si>
  <si>
    <t>ÖZDEMIR Sarah Dilan</t>
  </si>
  <si>
    <t>PEETERS Boris</t>
  </si>
  <si>
    <t>PENNINGS Zhanna</t>
  </si>
  <si>
    <t>PIETERS Finn</t>
  </si>
  <si>
    <t>RAMBARAN MISHRE Jay</t>
  </si>
  <si>
    <t>RECEVEUR Noud</t>
  </si>
  <si>
    <t>REGELINK Tom</t>
  </si>
  <si>
    <t>ROUWS Gabrielius</t>
  </si>
  <si>
    <t>ROZEMA Kai</t>
  </si>
  <si>
    <t>ROZEMA Takumi</t>
  </si>
  <si>
    <t>RUIJSINK Morrison</t>
  </si>
  <si>
    <t>RUITER Vigo</t>
  </si>
  <si>
    <t>RUIZ DANIEL Juliana</t>
  </si>
  <si>
    <t>RUIZ DANIEL Renzo</t>
  </si>
  <si>
    <t>SCHIPPER Feia</t>
  </si>
  <si>
    <t>SCHNITZLER Nora</t>
  </si>
  <si>
    <t>SCHREURS Bram</t>
  </si>
  <si>
    <t>SIETINGA Tibbe</t>
  </si>
  <si>
    <t>SMALING Raf</t>
  </si>
  <si>
    <t>SPANJERS Vic</t>
  </si>
  <si>
    <t>SPIERENBURG Ole</t>
  </si>
  <si>
    <t>SPIERINGHS Luka</t>
  </si>
  <si>
    <t>STARINK Lars</t>
  </si>
  <si>
    <t>STEEG Jasmijn</t>
  </si>
  <si>
    <t>STENGEWIS Stijn</t>
  </si>
  <si>
    <t>STUFKEN Roelof</t>
  </si>
  <si>
    <t>STURKENBOOM Daan</t>
  </si>
  <si>
    <t>TAMARGO-RODRIGUEZ Mariano</t>
  </si>
  <si>
    <t>TANAKA Kiann</t>
  </si>
  <si>
    <t>TANAKA Neo</t>
  </si>
  <si>
    <t>TER MATEN Adriana</t>
  </si>
  <si>
    <t>TERMEER Olivia</t>
  </si>
  <si>
    <t>TEUBEN Fenix</t>
  </si>
  <si>
    <t>TURKSTRA Lianne</t>
  </si>
  <si>
    <t>VAN BARNEVELD Adam</t>
  </si>
  <si>
    <t>VAN BARNEVELD Boris</t>
  </si>
  <si>
    <t>VAN BEEK Rens</t>
  </si>
  <si>
    <t>VAN BERKEL Sam</t>
  </si>
  <si>
    <t>VAN DAALEN Faber</t>
  </si>
  <si>
    <t>VAN DEN BOS Lucas</t>
  </si>
  <si>
    <t>VAN DEN DOBBELSTEEN Fender</t>
  </si>
  <si>
    <t>VAN DEN HOORN Luuk</t>
  </si>
  <si>
    <t>VAN DER BORGHT Nanne</t>
  </si>
  <si>
    <t>VAN DER LINDE Freek</t>
  </si>
  <si>
    <t>VAN DER VALK Marijn</t>
  </si>
  <si>
    <t>VAN DER WAAL Jesse</t>
  </si>
  <si>
    <t>Prometheus</t>
  </si>
  <si>
    <t>VAN DORST Marius</t>
  </si>
  <si>
    <t>VAN DUIVENBODE Luciel</t>
  </si>
  <si>
    <t>VAN GEND Roos</t>
  </si>
  <si>
    <t>VAN GORP Guus</t>
  </si>
  <si>
    <t>VAN HAAREN Monica</t>
  </si>
  <si>
    <t>VAN HARTINGSVELDT Saartje</t>
  </si>
  <si>
    <t>VAN HELVOIRT Juliaan</t>
  </si>
  <si>
    <t>VAN KEULEN Nathan</t>
  </si>
  <si>
    <t>VAN KRALINGEN Katie</t>
  </si>
  <si>
    <t>VAN LOENEN Tycho</t>
  </si>
  <si>
    <t>VAN MIDDELAAR Joep</t>
  </si>
  <si>
    <t>VAN OOSTEROM Sem</t>
  </si>
  <si>
    <t>VAN POPPEL Jelle</t>
  </si>
  <si>
    <t>Pallas</t>
  </si>
  <si>
    <t>VAN RIJNSWOU Abel</t>
  </si>
  <si>
    <t>VAN ROSSUM Mare</t>
  </si>
  <si>
    <t>VAN STRATEN Roelant</t>
  </si>
  <si>
    <t>VAN TIEL Simon</t>
  </si>
  <si>
    <t>VAN WEEGHEL Robin</t>
  </si>
  <si>
    <t>Vaillant</t>
  </si>
  <si>
    <t>VAN WEEGHEL Sven</t>
  </si>
  <si>
    <t>VAN WEES Marijn</t>
  </si>
  <si>
    <t>VAN WIJGERDEN Sarah</t>
  </si>
  <si>
    <t>VEERMAN Tygo</t>
  </si>
  <si>
    <t>VELDKAMP Hebe</t>
  </si>
  <si>
    <t>VENHORST Nanno</t>
  </si>
  <si>
    <t>VERHAGEN Matthijs</t>
  </si>
  <si>
    <t>VERSTEIJNEN Linus</t>
  </si>
  <si>
    <t>VISCHERS Neo</t>
  </si>
  <si>
    <t>VISSERS Job</t>
  </si>
  <si>
    <t>VOLLEBRECHT Julian</t>
  </si>
  <si>
    <t>VOOIJS Yara</t>
  </si>
  <si>
    <t>Estec FC</t>
  </si>
  <si>
    <t>VROOLAND Vincent</t>
  </si>
  <si>
    <t>WALESON Hugo</t>
  </si>
  <si>
    <t>Pallós</t>
  </si>
  <si>
    <t>WAPENAAR Vera</t>
  </si>
  <si>
    <t>WARTENBERG Joyce Lynn</t>
  </si>
  <si>
    <t>WESTRA Jasper</t>
  </si>
  <si>
    <t>WESTRA Joost Michiel</t>
  </si>
  <si>
    <t>WIERSMA Niels</t>
  </si>
  <si>
    <t>WILLEMEN Remco</t>
  </si>
  <si>
    <t>ZHURAKOVSKA Irma</t>
  </si>
  <si>
    <t>Pouleschema's</t>
  </si>
  <si>
    <t>ga naar poule</t>
  </si>
  <si>
    <t>wapen D/F/S</t>
  </si>
  <si>
    <t>Loper nr.</t>
  </si>
  <si>
    <t>Poule E/M/G</t>
  </si>
  <si>
    <t>wapen G/K</t>
  </si>
  <si>
    <t>#</t>
  </si>
  <si>
    <t>tekst loper</t>
  </si>
  <si>
    <t>tekst vorm</t>
  </si>
  <si>
    <t>tekst grootte</t>
  </si>
  <si>
    <t>tekst wapen</t>
  </si>
  <si>
    <t>PR</t>
  </si>
  <si>
    <t>RIJ</t>
  </si>
  <si>
    <t>KOLOM</t>
  </si>
  <si>
    <t>KOPIE</t>
  </si>
  <si>
    <t>1) Vul het schema hiernaast in:</t>
  </si>
  <si>
    <t>A&gt;&gt;</t>
  </si>
  <si>
    <t>A</t>
  </si>
  <si>
    <t>$A$21</t>
  </si>
  <si>
    <t>$V$46</t>
  </si>
  <si>
    <t>Z25</t>
  </si>
  <si>
    <t>AU26</t>
  </si>
  <si>
    <t>- type wapen: [d]egen, [f]loret, [s]abel</t>
  </si>
  <si>
    <t>B&gt;&gt;</t>
  </si>
  <si>
    <t>B</t>
  </si>
  <si>
    <t>$A$47</t>
  </si>
  <si>
    <t>$V$70</t>
  </si>
  <si>
    <t>Z27</t>
  </si>
  <si>
    <t>AU28</t>
  </si>
  <si>
    <t>- lopernummers</t>
  </si>
  <si>
    <t>C&gt;&gt;</t>
  </si>
  <si>
    <t>C</t>
  </si>
  <si>
    <t>$A$71</t>
  </si>
  <si>
    <t>$V$95</t>
  </si>
  <si>
    <t>Z30</t>
  </si>
  <si>
    <t>AU31</t>
  </si>
  <si>
    <t>- is de loper [e]lektrisch / [m]echanisch / [g]emeng elek.-mech.</t>
  </si>
  <si>
    <t>D&gt;&gt;</t>
  </si>
  <si>
    <t>D</t>
  </si>
  <si>
    <t>$A$96</t>
  </si>
  <si>
    <t>$V$120</t>
  </si>
  <si>
    <t>Z33</t>
  </si>
  <si>
    <t>AU34</t>
  </si>
  <si>
    <t>- wordt de poule verschermd op [k]leine of [g]rote wapens</t>
  </si>
  <si>
    <t>E&gt;&gt;</t>
  </si>
  <si>
    <t>E</t>
  </si>
  <si>
    <t>$A$121</t>
  </si>
  <si>
    <t>$V$145</t>
  </si>
  <si>
    <t>Z36</t>
  </si>
  <si>
    <t>AU38</t>
  </si>
  <si>
    <t>- selecteer het aantal keren (#) dat de poule verschermd wordt (1-4 keer)</t>
  </si>
  <si>
    <t>F&gt;&gt;</t>
  </si>
  <si>
    <t>F</t>
  </si>
  <si>
    <t>$A$146</t>
  </si>
  <si>
    <t>$V$170</t>
  </si>
  <si>
    <t>Z40</t>
  </si>
  <si>
    <t>AU42</t>
  </si>
  <si>
    <t>2) Ga naar de poulestaat (klik link in kolom 'ga naar poule')</t>
  </si>
  <si>
    <t>G&gt;&gt;</t>
  </si>
  <si>
    <t>G</t>
  </si>
  <si>
    <t>$A$171</t>
  </si>
  <si>
    <t>$V$195</t>
  </si>
  <si>
    <t>Z48</t>
  </si>
  <si>
    <t>AU52</t>
  </si>
  <si>
    <t>3) Kopieer de namen naar de poulestaten</t>
  </si>
  <si>
    <t>H&gt;&gt;</t>
  </si>
  <si>
    <t>H</t>
  </si>
  <si>
    <t>$A$196</t>
  </si>
  <si>
    <t>$V$220</t>
  </si>
  <si>
    <t>Z55</t>
  </si>
  <si>
    <t>AU59</t>
  </si>
  <si>
    <t>4) Breng het pouleschema aan (cursor op pouleschema en klik op het aanwezige aantal schermers)</t>
  </si>
  <si>
    <t>I&gt;&gt;</t>
  </si>
  <si>
    <t>I</t>
  </si>
  <si>
    <t>$A$221</t>
  </si>
  <si>
    <t>$V$245</t>
  </si>
  <si>
    <t>Z61</t>
  </si>
  <si>
    <t>AU67</t>
  </si>
  <si>
    <t>5) Klik op print</t>
  </si>
  <si>
    <t>J&gt;&gt;</t>
  </si>
  <si>
    <t>J</t>
  </si>
  <si>
    <t>$A$246</t>
  </si>
  <si>
    <t>$V$270</t>
  </si>
  <si>
    <t>K&gt;&gt;</t>
  </si>
  <si>
    <t>K</t>
  </si>
  <si>
    <t>$A$271</t>
  </si>
  <si>
    <t>$V$295</t>
  </si>
  <si>
    <t>In de poulestaat kun je terug naar de tabel hiernaast door klikken op de letter van de poule</t>
  </si>
  <si>
    <t>L&gt;&gt;</t>
  </si>
  <si>
    <t>L</t>
  </si>
  <si>
    <t>$A$296</t>
  </si>
  <si>
    <t>$V$320</t>
  </si>
  <si>
    <t>M&gt;&gt;</t>
  </si>
  <si>
    <t>M</t>
  </si>
  <si>
    <t>$A$321</t>
  </si>
  <si>
    <t>$V$345</t>
  </si>
  <si>
    <t>N&gt;&gt;</t>
  </si>
  <si>
    <t>N</t>
  </si>
  <si>
    <t>$A$346</t>
  </si>
  <si>
    <t>$V$370</t>
  </si>
  <si>
    <t>O&gt;&gt;</t>
  </si>
  <si>
    <t>O</t>
  </si>
  <si>
    <t>$A$371</t>
  </si>
  <si>
    <t>$V$395</t>
  </si>
  <si>
    <t>P&gt;&gt;</t>
  </si>
  <si>
    <t>$A$396</t>
  </si>
  <si>
    <t>$V$420</t>
  </si>
  <si>
    <t>Q&gt;&gt;</t>
  </si>
  <si>
    <t>Q</t>
  </si>
  <si>
    <t>$A$421</t>
  </si>
  <si>
    <t>$V$445</t>
  </si>
  <si>
    <t>R&gt;&gt;</t>
  </si>
  <si>
    <t>R</t>
  </si>
  <si>
    <t>$A$446</t>
  </si>
  <si>
    <t>$V$470</t>
  </si>
  <si>
    <t>X</t>
    <phoneticPr fontId="0" type="noConversion"/>
  </si>
  <si>
    <t>vorige  ronden</t>
  </si>
  <si>
    <t>deze ronde</t>
  </si>
  <si>
    <t>TOTAAL</t>
  </si>
  <si>
    <t>aantal partijen</t>
    <phoneticPr fontId="0" type="noConversion"/>
  </si>
  <si>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</si>
  <si>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</si>
  <si>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</si>
  <si>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</si>
  <si>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</si>
  <si>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</si>
  <si>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</si>
  <si>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</si>
  <si>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</si>
  <si>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</si>
  <si>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</si>
  <si>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</si>
  <si>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</si>
  <si>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</si>
  <si>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</si>
  <si>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</si>
  <si>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</si>
  <si>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</si>
  <si>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</si>
  <si>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</si>
  <si>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</si>
  <si>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</si>
  <si>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</si>
  <si>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</si>
  <si>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</si>
  <si>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</si>
  <si>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</si>
  <si>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</si>
  <si>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</si>
  <si>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</si>
  <si>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</si>
  <si>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</si>
  <si>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</si>
  <si>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</si>
  <si>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</si>
  <si>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</si>
  <si>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</si>
  <si>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</si>
  <si>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</si>
  <si>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</si>
  <si>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</si>
  <si>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</si>
  <si>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</si>
  <si>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</si>
  <si>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</si>
  <si>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</si>
  <si>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</si>
  <si>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</si>
  <si>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</si>
  <si>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</si>
  <si>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</si>
  <si>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</si>
  <si>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</si>
  <si>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</si>
  <si>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</si>
  <si>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</si>
  <si>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</si>
  <si>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</si>
  <si>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</si>
  <si>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</si>
  <si>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</si>
  <si>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</si>
  <si>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</si>
  <si>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</si>
  <si>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</si>
  <si>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</si>
  <si>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</si>
  <si>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</si>
  <si>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</si>
  <si>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</si>
  <si>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</si>
  <si>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</si>
  <si>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</si>
  <si>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</si>
  <si>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</si>
  <si>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</si>
  <si>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</si>
  <si>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</si>
  <si>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</si>
  <si>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</si>
  <si>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</si>
  <si>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</si>
  <si>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</si>
  <si>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</si>
  <si>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</si>
  <si>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</si>
  <si>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</si>
  <si>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</si>
  <si>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</si>
  <si>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</si>
  <si>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</si>
  <si>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</si>
  <si>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</si>
  <si>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</si>
  <si>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</si>
  <si>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</si>
  <si>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</si>
  <si>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</si>
  <si>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</si>
  <si>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</si>
  <si>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</si>
  <si>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</si>
  <si>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</si>
  <si>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</si>
  <si>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</si>
  <si>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</si>
  <si>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</si>
  <si>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</si>
  <si>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</si>
  <si>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</si>
  <si>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</si>
  <si>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</si>
  <si>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</si>
  <si>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</si>
  <si>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</si>
  <si>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</si>
  <si>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</si>
  <si>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</si>
  <si>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</si>
  <si>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SCHEIDSRECHTER</t>
    <phoneticPr fontId="0" type="noConversion"/>
  </si>
  <si>
    <t>P</t>
  </si>
  <si>
    <t>+</t>
  </si>
  <si>
    <t>floret</t>
  </si>
  <si>
    <t>sabel</t>
  </si>
  <si>
    <t>degen</t>
  </si>
  <si>
    <t>opmerking</t>
  </si>
  <si>
    <t>diploma/i.o.</t>
  </si>
  <si>
    <t>niveau</t>
  </si>
  <si>
    <t>gen. totaal</t>
  </si>
  <si>
    <t>totaal 2022/2023</t>
  </si>
  <si>
    <t>aantal</t>
  </si>
  <si>
    <t>Baarn1</t>
  </si>
  <si>
    <t>Utrecht2</t>
  </si>
  <si>
    <t>Baarn2</t>
  </si>
  <si>
    <t>Lent</t>
  </si>
  <si>
    <t>Freek van Tesseling</t>
  </si>
  <si>
    <t>d</t>
  </si>
  <si>
    <t>Juan Trejo</t>
  </si>
  <si>
    <t>s</t>
  </si>
  <si>
    <t>io</t>
  </si>
  <si>
    <t>Richard Abbink</t>
  </si>
  <si>
    <t>Tom van Borkum</t>
  </si>
  <si>
    <t>f</t>
  </si>
  <si>
    <t>Veronique Kocken</t>
  </si>
  <si>
    <t>Coen de Voogd</t>
  </si>
  <si>
    <t>Emiel Wojcik</t>
  </si>
  <si>
    <t>Hans van den Berg</t>
  </si>
  <si>
    <t>Koen de Voogd</t>
  </si>
  <si>
    <t>Elise Butin Bik</t>
  </si>
  <si>
    <t xml:space="preserve">Eddy Butin Bik </t>
  </si>
  <si>
    <t>Hugo Jan Dulfer</t>
  </si>
  <si>
    <t>Maarten Postma</t>
  </si>
  <si>
    <t>Ralph Postma</t>
  </si>
  <si>
    <t>in opleiding</t>
  </si>
  <si>
    <t>Benno Tychon</t>
  </si>
  <si>
    <t>Abel van Rijnswou</t>
  </si>
  <si>
    <t>Atilla Overbeeke</t>
  </si>
  <si>
    <t>Baris Nurver</t>
  </si>
  <si>
    <t>Chen Yifei</t>
  </si>
  <si>
    <t>Emma van Rijnswou</t>
  </si>
  <si>
    <t>Fin van de Sande</t>
  </si>
  <si>
    <t>Henri Faber</t>
  </si>
  <si>
    <t>Chris Ruiz</t>
  </si>
  <si>
    <t>David Thompson</t>
  </si>
  <si>
    <t>Berend Willemen</t>
  </si>
  <si>
    <t>Erik Bel</t>
  </si>
  <si>
    <t>rolstoel</t>
  </si>
  <si>
    <t>Michiel UitdeHaag</t>
  </si>
  <si>
    <t>Frans Hoeberechts</t>
  </si>
  <si>
    <t>La Rapiere</t>
  </si>
  <si>
    <t>Lotte Eerdekens</t>
  </si>
  <si>
    <t>Thor van der Klei</t>
  </si>
  <si>
    <t>Meryam Saïd</t>
  </si>
  <si>
    <t>Axel Hartog</t>
  </si>
  <si>
    <t>Irma de Ridder</t>
  </si>
  <si>
    <t>Laurens Teuben</t>
  </si>
  <si>
    <t>Lennert Meevis</t>
  </si>
  <si>
    <t xml:space="preserve">Rowan Jamakina </t>
  </si>
  <si>
    <t>Vic Hartog</t>
  </si>
  <si>
    <t>Daan Warreman</t>
  </si>
  <si>
    <t>Jeroen Eikelenboom</t>
  </si>
  <si>
    <t>Jurgen Turkstra</t>
  </si>
  <si>
    <t>Peter Bijker</t>
  </si>
  <si>
    <t>Jan Koen Versteijnen</t>
  </si>
  <si>
    <t>SC den Bosch</t>
  </si>
  <si>
    <t>Koen Versteijnen</t>
  </si>
  <si>
    <t>Patrick Pieters</t>
  </si>
  <si>
    <t>Roeland Reesinck</t>
  </si>
  <si>
    <t>Vivian de Meurichy</t>
  </si>
  <si>
    <t>Peter Scheurwegen</t>
  </si>
  <si>
    <t>SC Latem-Deurle</t>
  </si>
  <si>
    <t>Rick Lamont</t>
  </si>
  <si>
    <t>Renate van Helvoort</t>
  </si>
  <si>
    <t>Henriëtte Hofman</t>
  </si>
  <si>
    <t>Scharamouche</t>
  </si>
  <si>
    <t>Jacco Aantjes</t>
  </si>
  <si>
    <t>Schermschool Midden Nederland</t>
  </si>
  <si>
    <t>Quinton Faas</t>
  </si>
  <si>
    <t>Wojtek van Barneveld</t>
  </si>
  <si>
    <t>Enno Chiang</t>
  </si>
  <si>
    <t>Iris van Viegen</t>
  </si>
  <si>
    <t>Jasper Hendriks</t>
  </si>
  <si>
    <t>Kilian Faas</t>
  </si>
  <si>
    <t>Tim Imming</t>
  </si>
  <si>
    <t>Tunghai Chiang</t>
  </si>
  <si>
    <t>Glenn Duivevoorden</t>
  </si>
  <si>
    <t>Matthijs Bonefaas</t>
  </si>
  <si>
    <t>Ryan Waasdorp</t>
  </si>
  <si>
    <t>Ineke Knape</t>
  </si>
  <si>
    <t>Giel Witmer</t>
  </si>
  <si>
    <t>Jonne Bakker</t>
  </si>
  <si>
    <t>Joshua Mynott</t>
  </si>
  <si>
    <t>Lars Kramer</t>
  </si>
  <si>
    <t>Qiang Hilgenbos</t>
  </si>
  <si>
    <t>i.o.</t>
  </si>
  <si>
    <t>Shuai Oppers</t>
  </si>
  <si>
    <t>Wim Jan Hilgebos</t>
  </si>
  <si>
    <t>Jeroen Hustinx</t>
  </si>
  <si>
    <t>Enrique Endendijk</t>
  </si>
  <si>
    <t>Totaal per maand</t>
  </si>
  <si>
    <t>datum</t>
  </si>
  <si>
    <t>jaar verwijdering</t>
  </si>
  <si>
    <t>pnt t/m jaar verwijdering</t>
  </si>
  <si>
    <t>x</t>
  </si>
  <si>
    <t>AMUOM Maurits</t>
  </si>
  <si>
    <t>ANTOKOLETZ Zoska</t>
  </si>
  <si>
    <t>vrijgesteld</t>
  </si>
  <si>
    <t>BAKKER Jonne</t>
  </si>
  <si>
    <t>BAKKER Niels</t>
  </si>
  <si>
    <t>BELJAARS Doeke</t>
  </si>
  <si>
    <t>BENDLE-ROSE Elliott</t>
  </si>
  <si>
    <t>BIJLHOUT Wolf</t>
  </si>
  <si>
    <t>BISANG Hjalmar</t>
  </si>
  <si>
    <t>BLOKS Teun</t>
  </si>
  <si>
    <t>DE GROOT Bas</t>
  </si>
  <si>
    <t>DE JONG Hjalmar</t>
  </si>
  <si>
    <t>DE JONGE Tim</t>
  </si>
  <si>
    <t>DILEN Sara</t>
  </si>
  <si>
    <t>DU CLOU Moise</t>
  </si>
  <si>
    <t>EESTERMANS Berend</t>
  </si>
  <si>
    <t>FURLANI Luca</t>
  </si>
  <si>
    <t>HENDRIKS Tom</t>
  </si>
  <si>
    <t>IVANOVA Alyana</t>
  </si>
  <si>
    <t>JENKINS Zara</t>
  </si>
  <si>
    <t>KLOMPJAN Giel</t>
  </si>
  <si>
    <t>KOELEMAIJ Floris</t>
  </si>
  <si>
    <t>KOESLAG Nuria</t>
  </si>
  <si>
    <t>KOLDENHOF Fynn</t>
  </si>
  <si>
    <t>LAURIJSSEN Mees</t>
  </si>
  <si>
    <t>LESEMAN Robin</t>
  </si>
  <si>
    <t>MULDERS Hugo</t>
  </si>
  <si>
    <t>PEREIRA Keoni</t>
  </si>
  <si>
    <t>PETRELLI Matteo</t>
  </si>
  <si>
    <t>PIETERS Kyano</t>
  </si>
  <si>
    <t>PLUIM Ricardo</t>
  </si>
  <si>
    <t>POSTMA Maarten</t>
  </si>
  <si>
    <t>PUCCIARELLA Roslyn</t>
  </si>
  <si>
    <t>PUNT Frederick</t>
  </si>
  <si>
    <t>REESINCK Sophie</t>
  </si>
  <si>
    <t>RENIERS Stijn</t>
  </si>
  <si>
    <t>RIEZEBOS Frederick</t>
  </si>
  <si>
    <t>ROTGANS Carmenta</t>
  </si>
  <si>
    <t>SCHULZ Ronja</t>
  </si>
  <si>
    <t>SEELEN Jack</t>
  </si>
  <si>
    <t>SNOEK Querine</t>
  </si>
  <si>
    <t>SPERMON Lucas</t>
  </si>
  <si>
    <t>SWANEVELD Dyoni Ann</t>
  </si>
  <si>
    <t>TURNER William</t>
  </si>
  <si>
    <t>TURNHOUT Diese</t>
  </si>
  <si>
    <t>VAN AARTSEN Alexander Vince</t>
  </si>
  <si>
    <t>VAN APELDOORN Olivier</t>
  </si>
  <si>
    <t>VAN BERKUM Tom</t>
  </si>
  <si>
    <t>VAN DE SANDE Finn</t>
  </si>
  <si>
    <t>VAN DEN BIGGELAAR Robert</t>
  </si>
  <si>
    <t>VAN DER HELM Takeo</t>
  </si>
  <si>
    <t>VAN DER LINDEN Iris</t>
  </si>
  <si>
    <t>VAN DER MUNNIK Gijs</t>
  </si>
  <si>
    <t>X</t>
  </si>
  <si>
    <t>VAN LIER Stefan</t>
  </si>
  <si>
    <t>VAN OORD Abel</t>
  </si>
  <si>
    <t>VAN RIJNSWOU Emma</t>
  </si>
  <si>
    <t>VAN ROOIJ Jelle</t>
  </si>
  <si>
    <t>VAN VESSEM Reinout</t>
  </si>
  <si>
    <t>Harderwijk</t>
  </si>
  <si>
    <t>VAN WIJK Jonne</t>
  </si>
  <si>
    <t>VISSER Zeb</t>
  </si>
  <si>
    <t>VORST Ali</t>
  </si>
  <si>
    <t>WILLEMEN Berend</t>
  </si>
  <si>
    <t>ZANONI Oskar</t>
  </si>
  <si>
    <t>ZWANENBERG Jip</t>
  </si>
  <si>
    <t>HAGEN Jasper</t>
  </si>
  <si>
    <t>VERSTEIJNEN Jan-Koen</t>
  </si>
  <si>
    <t>sc Den Bosch</t>
  </si>
  <si>
    <t>Axl van Gameren</t>
  </si>
  <si>
    <t>Apeldoorn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</si>
</sst>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b/>
      <sz val="11"/>
      <color theme="0"/>
      <name val="Calibri"/>
      <family val="2"/>
      <scheme val="minor"/>
    </font>
    <font>
      <sz val="16"/>
      <name val="Calibri"/>
      <family val="2"/>
      <charset val="1"/>
    </font>
    <font>
      <b/>
      <u/>
      <sz val="14"/>
      <color theme="10"/>
      <name val="Calibri"/>
      <family val="2"/>
      <scheme val="minor"/>
    </font>
    <font>
      <b/>
      <u/>
      <sz val="28"/>
      <color theme="10"/>
      <name val="Calibri"/>
      <family val="2"/>
      <scheme val="minor"/>
    </font>
    <font>
      <b/>
      <u/>
      <sz val="26"/>
      <color theme="10"/>
      <name val="Calibri"/>
      <family val="2"/>
      <scheme val="minor"/>
    </font>
    <font>
      <sz val="11"/>
      <color rgb="FF000000"/>
      <name val="Calibri"/>
      <family val="2"/>
    </font>
    <font>
      <sz val="10"/>
      <color rgb="FF000000"/>
      <name val="Arial"/>
      <family val="2"/>
    </font>
  </fonts>
  <fills count="9">
    <fill>
      <patternFill patternType="none"/>
    </fill>
    <fill>
      <patternFill patternType="gray125"/>
    </fill>
    <fill>
      <patternFill patternType="solid">
        <fgColor rgb="FFC0C0C0"/>
        <bgColor rgb="FFBFBFB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s>
  <cellStyleXfs count="8">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3" fillId="0" borderId="0" applyNumberForma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39">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5" fillId="0" borderId="0" xfId="4"/>
    <xf numFmtId="0" fontId="10" fillId="0" borderId="0" xfId="4" applyFont="1" applyAlignment="1">
      <alignment vertical="center"/>
    </xf>
    <xf numFmtId="0" fontId="5" fillId="0" borderId="0" xfId="4" applyAlignment="1">
      <alignment textRotation="90"/>
    </xf>
    <xf numFmtId="0" fontId="12" fillId="0" borderId="0" xfId="4" applyFont="1"/>
    <xf numFmtId="0" fontId="11" fillId="0" borderId="0" xfId="4" applyFont="1" applyAlignment="1">
      <alignment horizontal="center"/>
    </xf>
    <xf numFmtId="0" fontId="12" fillId="0" borderId="0" xfId="4" quotePrefix="1" applyFont="1"/>
    <xf numFmtId="1" fontId="14" fillId="0" borderId="0" xfId="4" applyNumberFormat="1" applyFont="1" applyAlignment="1">
      <alignment horizontal="center"/>
    </xf>
    <xf numFmtId="0" fontId="15" fillId="0" borderId="0" xfId="4" applyFont="1" applyAlignment="1">
      <alignment horizontal="center" textRotation="255"/>
    </xf>
    <xf numFmtId="0" fontId="16" fillId="0" borderId="0" xfId="4" applyFont="1"/>
    <xf numFmtId="0" fontId="10" fillId="0" borderId="11" xfId="4" applyFont="1" applyBorder="1" applyAlignment="1">
      <alignment horizontal="center"/>
    </xf>
    <xf numFmtId="0" fontId="19" fillId="3" borderId="14" xfId="4" applyFont="1" applyFill="1" applyBorder="1" applyAlignment="1">
      <alignment horizontal="center"/>
    </xf>
    <xf numFmtId="0" fontId="19" fillId="3" borderId="15" xfId="4" applyFont="1" applyFill="1" applyBorder="1" applyAlignment="1">
      <alignment horizontal="center"/>
    </xf>
    <xf numFmtId="0" fontId="19" fillId="3" borderId="16" xfId="4" applyFont="1" applyFill="1" applyBorder="1" applyAlignment="1">
      <alignment horizontal="center"/>
    </xf>
    <xf numFmtId="0" fontId="19" fillId="3" borderId="6" xfId="4" applyFont="1" applyFill="1" applyBorder="1" applyAlignment="1">
      <alignment horizontal="center"/>
    </xf>
    <xf numFmtId="0" fontId="19" fillId="3" borderId="17" xfId="4" applyFont="1" applyFill="1" applyBorder="1" applyAlignment="1">
      <alignment horizontal="center"/>
    </xf>
    <xf numFmtId="0" fontId="19" fillId="3" borderId="18" xfId="4" applyFont="1" applyFill="1" applyBorder="1" applyAlignment="1">
      <alignment horizontal="center"/>
    </xf>
    <xf numFmtId="0" fontId="19" fillId="3" borderId="19" xfId="4" applyFont="1" applyFill="1" applyBorder="1" applyAlignment="1">
      <alignment horizontal="center"/>
    </xf>
    <xf numFmtId="0" fontId="19" fillId="3" borderId="20" xfId="4" applyFont="1" applyFill="1" applyBorder="1" applyAlignment="1">
      <alignment horizontal="center"/>
    </xf>
    <xf numFmtId="0" fontId="19" fillId="3" borderId="21" xfId="4" applyFont="1" applyFill="1" applyBorder="1" applyAlignment="1">
      <alignment horizontal="center"/>
    </xf>
    <xf numFmtId="0" fontId="19" fillId="3" borderId="22" xfId="4" applyFont="1" applyFill="1" applyBorder="1" applyAlignment="1">
      <alignment horizontal="center"/>
    </xf>
    <xf numFmtId="0" fontId="20" fillId="0" borderId="0" xfId="4" applyFont="1" applyAlignment="1">
      <alignment horizontal="center"/>
    </xf>
    <xf numFmtId="0" fontId="5" fillId="0" borderId="0" xfId="4" applyAlignment="1">
      <alignment horizontal="center"/>
    </xf>
    <xf numFmtId="0" fontId="19" fillId="3" borderId="24" xfId="4" applyFont="1" applyFill="1" applyBorder="1" applyAlignment="1" applyProtection="1">
      <alignment horizontal="center"/>
      <protection locked="0"/>
    </xf>
    <xf numFmtId="0" fontId="21" fillId="4" borderId="21" xfId="4" applyFont="1" applyFill="1" applyBorder="1" applyAlignment="1">
      <alignment horizontal="center"/>
    </xf>
    <xf numFmtId="0" fontId="21" fillId="0" borderId="25" xfId="4" applyFont="1" applyBorder="1" applyAlignment="1" applyProtection="1">
      <alignment horizontal="center"/>
      <protection locked="0"/>
    </xf>
    <xf numFmtId="0" fontId="21" fillId="0" borderId="22" xfId="4" applyFont="1" applyBorder="1" applyAlignment="1" applyProtection="1">
      <alignment horizontal="center"/>
      <protection locked="0"/>
    </xf>
    <xf numFmtId="0" fontId="21" fillId="0" borderId="26" xfId="4" applyFont="1" applyBorder="1" applyAlignment="1" applyProtection="1">
      <alignment horizontal="center"/>
      <protection locked="0"/>
    </xf>
    <xf numFmtId="0" fontId="22" fillId="0" borderId="27" xfId="4" applyFont="1" applyBorder="1" applyAlignment="1">
      <alignment horizontal="center"/>
    </xf>
    <xf numFmtId="0" fontId="22" fillId="0" borderId="26" xfId="4" applyFont="1" applyBorder="1" applyAlignment="1">
      <alignment horizontal="center"/>
    </xf>
    <xf numFmtId="0" fontId="22"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19" fillId="3" borderId="30" xfId="4" applyFont="1" applyFill="1" applyBorder="1" applyAlignment="1" applyProtection="1">
      <alignment horizontal="center"/>
      <protection locked="0"/>
    </xf>
    <xf numFmtId="0" fontId="21" fillId="0" borderId="27" xfId="4" applyFont="1" applyBorder="1" applyAlignment="1" applyProtection="1">
      <alignment horizontal="center"/>
      <protection locked="0"/>
    </xf>
    <xf numFmtId="0" fontId="21" fillId="4" borderId="1" xfId="4" applyFont="1" applyFill="1" applyBorder="1" applyAlignment="1">
      <alignment horizontal="center"/>
    </xf>
    <xf numFmtId="0" fontId="21" fillId="0" borderId="1" xfId="4" applyFont="1" applyBorder="1" applyAlignment="1" applyProtection="1">
      <alignment horizontal="center"/>
      <protection locked="0"/>
    </xf>
    <xf numFmtId="0" fontId="21" fillId="0" borderId="4" xfId="4" applyFont="1" applyBorder="1" applyAlignment="1" applyProtection="1">
      <alignment horizontal="center"/>
      <protection locked="0"/>
    </xf>
    <xf numFmtId="49" fontId="23" fillId="4" borderId="9" xfId="4" applyNumberFormat="1" applyFont="1" applyFill="1" applyBorder="1" applyAlignment="1">
      <alignment horizontal="center"/>
    </xf>
    <xf numFmtId="49" fontId="24" fillId="0" borderId="31" xfId="4" quotePrefix="1" applyNumberFormat="1" applyFont="1" applyBorder="1" applyAlignment="1">
      <alignment horizontal="center"/>
    </xf>
    <xf numFmtId="49" fontId="24" fillId="0" borderId="32" xfId="4" quotePrefix="1" applyNumberFormat="1" applyFont="1" applyBorder="1" applyAlignment="1">
      <alignment horizontal="center"/>
    </xf>
    <xf numFmtId="49" fontId="24" fillId="0" borderId="33" xfId="4" quotePrefix="1" applyNumberFormat="1" applyFont="1" applyBorder="1" applyAlignment="1">
      <alignment horizontal="center"/>
    </xf>
    <xf numFmtId="49" fontId="24" fillId="0" borderId="0" xfId="4" quotePrefix="1" applyNumberFormat="1" applyFont="1" applyAlignment="1">
      <alignment horizontal="center"/>
    </xf>
    <xf numFmtId="49" fontId="24" fillId="0" borderId="0" xfId="4" applyNumberFormat="1" applyFont="1" applyAlignment="1">
      <alignment horizontal="center"/>
    </xf>
    <xf numFmtId="49" fontId="21" fillId="0" borderId="0" xfId="4" applyNumberFormat="1" applyFont="1" applyAlignment="1">
      <alignment horizontal="center"/>
    </xf>
    <xf numFmtId="49" fontId="25" fillId="0" borderId="0" xfId="4" applyNumberFormat="1" applyFont="1" applyAlignment="1">
      <alignment horizontal="center"/>
    </xf>
    <xf numFmtId="49" fontId="26" fillId="0" borderId="0" xfId="4" applyNumberFormat="1" applyFont="1" applyAlignment="1">
      <alignment horizontal="center"/>
    </xf>
    <xf numFmtId="49" fontId="23" fillId="4" borderId="12" xfId="4" applyNumberFormat="1" applyFont="1" applyFill="1" applyBorder="1" applyAlignment="1">
      <alignment horizontal="center"/>
    </xf>
    <xf numFmtId="49" fontId="24" fillId="0" borderId="1" xfId="4" quotePrefix="1" applyNumberFormat="1" applyFont="1" applyBorder="1" applyAlignment="1">
      <alignment horizontal="center"/>
    </xf>
    <xf numFmtId="0" fontId="24" fillId="0" borderId="0" xfId="4" applyFont="1" applyAlignment="1">
      <alignment horizontal="center"/>
    </xf>
    <xf numFmtId="0" fontId="21" fillId="0" borderId="4" xfId="4" applyFont="1" applyBorder="1" applyAlignment="1">
      <alignment horizontal="center"/>
    </xf>
    <xf numFmtId="0" fontId="21" fillId="0" borderId="26" xfId="4" applyFont="1" applyBorder="1" applyAlignment="1">
      <alignment horizontal="center"/>
    </xf>
    <xf numFmtId="49" fontId="23" fillId="4" borderId="34" xfId="4" applyNumberFormat="1" applyFont="1" applyFill="1" applyBorder="1" applyAlignment="1">
      <alignment horizontal="center"/>
    </xf>
    <xf numFmtId="49" fontId="24" fillId="0" borderId="1" xfId="4" applyNumberFormat="1" applyFont="1" applyBorder="1" applyAlignment="1">
      <alignment horizontal="center"/>
    </xf>
    <xf numFmtId="0" fontId="21" fillId="0" borderId="35" xfId="4" applyFont="1" applyBorder="1" applyAlignment="1" applyProtection="1">
      <alignment horizontal="center"/>
      <protection locked="0"/>
    </xf>
    <xf numFmtId="0" fontId="21" fillId="0" borderId="8" xfId="4" applyFont="1" applyBorder="1" applyAlignment="1" applyProtection="1">
      <alignment horizontal="center"/>
      <protection locked="0"/>
    </xf>
    <xf numFmtId="0" fontId="21" fillId="0" borderId="8" xfId="4" applyFont="1" applyBorder="1" applyAlignment="1">
      <alignment horizontal="center"/>
    </xf>
    <xf numFmtId="0" fontId="21" fillId="4" borderId="36" xfId="4" applyFont="1" applyFill="1" applyBorder="1" applyAlignment="1">
      <alignment horizontal="center"/>
    </xf>
    <xf numFmtId="0" fontId="21" fillId="0" borderId="36" xfId="4" applyFont="1" applyBorder="1" applyAlignment="1">
      <alignment horizontal="center"/>
    </xf>
    <xf numFmtId="49" fontId="21" fillId="0" borderId="0" xfId="4" quotePrefix="1" applyNumberFormat="1" applyFont="1" applyAlignment="1">
      <alignment horizontal="center"/>
    </xf>
    <xf numFmtId="0" fontId="21" fillId="0" borderId="28" xfId="4" applyFont="1" applyBorder="1" applyAlignment="1">
      <alignment horizontal="left"/>
    </xf>
    <xf numFmtId="0" fontId="21" fillId="0" borderId="0" xfId="4" applyFont="1" applyAlignment="1">
      <alignment horizontal="center"/>
    </xf>
    <xf numFmtId="0" fontId="21" fillId="0" borderId="37" xfId="4" applyFont="1" applyBorder="1" applyAlignment="1">
      <alignment horizontal="left"/>
    </xf>
    <xf numFmtId="0" fontId="19" fillId="3" borderId="38" xfId="4" applyFont="1" applyFill="1" applyBorder="1" applyAlignment="1" applyProtection="1">
      <alignment horizontal="center"/>
      <protection locked="0"/>
    </xf>
    <xf numFmtId="0" fontId="21" fillId="0" borderId="39" xfId="4" applyFont="1" applyBorder="1" applyAlignment="1" applyProtection="1">
      <alignment horizontal="center"/>
      <protection locked="0"/>
    </xf>
    <xf numFmtId="0" fontId="21" fillId="0" borderId="40" xfId="4" applyFont="1" applyBorder="1" applyAlignment="1" applyProtection="1">
      <alignment horizontal="center"/>
      <protection locked="0"/>
    </xf>
    <xf numFmtId="0" fontId="21" fillId="0" borderId="41" xfId="4" applyFont="1" applyBorder="1" applyAlignment="1" applyProtection="1">
      <alignment horizontal="center"/>
      <protection locked="0"/>
    </xf>
    <xf numFmtId="0" fontId="21" fillId="4" borderId="42" xfId="4" applyFont="1" applyFill="1" applyBorder="1" applyAlignment="1" applyProtection="1">
      <alignment horizontal="center"/>
      <protection locked="0"/>
    </xf>
    <xf numFmtId="0" fontId="22" fillId="0" borderId="39" xfId="4" applyFont="1" applyBorder="1" applyAlignment="1">
      <alignment horizontal="center"/>
    </xf>
    <xf numFmtId="0" fontId="22" fillId="0" borderId="42" xfId="4" applyFont="1" applyBorder="1" applyAlignment="1">
      <alignment horizontal="center"/>
    </xf>
    <xf numFmtId="0" fontId="22" fillId="0" borderId="41" xfId="4" applyFont="1" applyBorder="1" applyAlignment="1">
      <alignment horizontal="center"/>
    </xf>
    <xf numFmtId="49" fontId="19" fillId="0" borderId="0" xfId="4" applyNumberFormat="1" applyFont="1" applyAlignment="1">
      <alignment horizontal="center"/>
    </xf>
    <xf numFmtId="49" fontId="27" fillId="0" borderId="0" xfId="4" applyNumberFormat="1" applyFont="1" applyAlignment="1">
      <alignment horizontal="center"/>
    </xf>
    <xf numFmtId="0" fontId="21" fillId="0" borderId="0" xfId="4" applyFont="1" applyAlignment="1">
      <alignment horizontal="left"/>
    </xf>
    <xf numFmtId="0" fontId="19" fillId="0" borderId="0" xfId="4" applyFont="1" applyAlignment="1" applyProtection="1">
      <alignment horizontal="center"/>
      <protection locked="0"/>
    </xf>
    <xf numFmtId="0" fontId="21" fillId="0" borderId="0" xfId="4" applyFont="1" applyAlignment="1" applyProtection="1">
      <alignment horizontal="center"/>
      <protection locked="0"/>
    </xf>
    <xf numFmtId="0" fontId="22" fillId="0" borderId="0" xfId="4" applyFont="1" applyAlignment="1">
      <alignment horizontal="center"/>
    </xf>
    <xf numFmtId="49" fontId="23" fillId="4" borderId="0" xfId="4" applyNumberFormat="1" applyFont="1" applyFill="1" applyAlignment="1">
      <alignment horizontal="center"/>
    </xf>
    <xf numFmtId="49" fontId="23" fillId="0" borderId="0" xfId="4" applyNumberFormat="1" applyFont="1" applyAlignment="1">
      <alignment horizontal="center"/>
    </xf>
    <xf numFmtId="0" fontId="28" fillId="0" borderId="0" xfId="4" applyFont="1" applyAlignment="1">
      <alignment horizontal="left"/>
    </xf>
    <xf numFmtId="0" fontId="19" fillId="3" borderId="44" xfId="4" applyFont="1" applyFill="1" applyBorder="1" applyAlignment="1">
      <alignment horizontal="center"/>
    </xf>
    <xf numFmtId="49" fontId="23" fillId="4" borderId="45" xfId="4" applyNumberFormat="1" applyFont="1" applyFill="1" applyBorder="1" applyAlignment="1">
      <alignment horizontal="center"/>
    </xf>
    <xf numFmtId="49" fontId="24" fillId="0" borderId="46" xfId="4" applyNumberFormat="1" applyFont="1" applyBorder="1" applyAlignment="1">
      <alignment horizontal="center"/>
    </xf>
    <xf numFmtId="0" fontId="19" fillId="3" borderId="47" xfId="4" applyFont="1" applyFill="1" applyBorder="1" applyAlignment="1" applyProtection="1">
      <alignment horizontal="center"/>
      <protection locked="0"/>
    </xf>
    <xf numFmtId="0" fontId="19" fillId="3" borderId="3" xfId="4" applyFont="1" applyFill="1" applyBorder="1" applyAlignment="1" applyProtection="1">
      <alignment horizontal="center"/>
      <protection locked="0"/>
    </xf>
    <xf numFmtId="0" fontId="23" fillId="4" borderId="0" xfId="4" applyFont="1" applyFill="1" applyAlignment="1">
      <alignment horizontal="center"/>
    </xf>
    <xf numFmtId="0" fontId="21" fillId="0" borderId="27" xfId="4" applyFont="1" applyBorder="1" applyAlignment="1">
      <alignment horizontal="left"/>
    </xf>
    <xf numFmtId="49" fontId="24" fillId="0" borderId="8" xfId="4" applyNumberFormat="1" applyFont="1" applyBorder="1" applyAlignment="1">
      <alignment horizontal="center"/>
    </xf>
    <xf numFmtId="0" fontId="21" fillId="0" borderId="39" xfId="4" applyFont="1" applyBorder="1" applyAlignment="1">
      <alignment horizontal="left"/>
    </xf>
    <xf numFmtId="0" fontId="19" fillId="3" borderId="48" xfId="4" applyFont="1" applyFill="1" applyBorder="1" applyAlignment="1" applyProtection="1">
      <alignment horizontal="center"/>
      <protection locked="0"/>
    </xf>
    <xf numFmtId="0" fontId="23" fillId="0" borderId="0" xfId="4" applyFont="1" applyAlignment="1">
      <alignment horizontal="center"/>
    </xf>
    <xf numFmtId="0" fontId="5" fillId="0" borderId="0" xfId="4" applyAlignment="1">
      <alignment horizontal="left"/>
    </xf>
    <xf numFmtId="49" fontId="24" fillId="0" borderId="49" xfId="4" applyNumberFormat="1" applyFont="1" applyBorder="1" applyAlignment="1">
      <alignment horizontal="center"/>
    </xf>
    <xf numFmtId="0" fontId="29" fillId="0" borderId="0" xfId="4" applyFont="1" applyAlignment="1">
      <alignment horizontal="center"/>
    </xf>
    <xf numFmtId="0" fontId="31" fillId="0" borderId="0" xfId="0" applyFont="1"/>
    <xf numFmtId="0" fontId="18" fillId="0" borderId="0" xfId="4" applyFont="1" applyAlignment="1">
      <alignment horizontal="center" textRotation="60"/>
    </xf>
    <xf numFmtId="0" fontId="5" fillId="0" borderId="0" xfId="4" applyAlignment="1">
      <alignment textRotation="60"/>
    </xf>
    <xf numFmtId="0" fontId="19" fillId="0" borderId="0" xfId="4" applyFont="1" applyAlignment="1">
      <alignment horizontal="center" textRotation="60"/>
    </xf>
    <xf numFmtId="0" fontId="21" fillId="0" borderId="0" xfId="4" applyFont="1" applyAlignment="1">
      <alignment textRotation="60"/>
    </xf>
    <xf numFmtId="0" fontId="32" fillId="0" borderId="0" xfId="6" applyFont="1" applyBorder="1" applyAlignment="1">
      <alignment horizontal="center" vertical="center"/>
    </xf>
    <xf numFmtId="0" fontId="11" fillId="0" borderId="0" xfId="6" applyFont="1" applyAlignment="1">
      <alignment horizontal="center"/>
    </xf>
    <xf numFmtId="0" fontId="33" fillId="0" borderId="0" xfId="4" applyFont="1" applyAlignment="1">
      <alignment horizontal="center" vertical="center" wrapText="1"/>
    </xf>
    <xf numFmtId="0" fontId="11" fillId="0" borderId="0" xfId="4" quotePrefix="1" applyFont="1"/>
    <xf numFmtId="0" fontId="17" fillId="0" borderId="0" xfId="4" applyFont="1"/>
    <xf numFmtId="0" fontId="4" fillId="0" borderId="0" xfId="2" applyFont="1" applyAlignment="1">
      <alignment horizontal="left"/>
    </xf>
    <xf numFmtId="16" fontId="30" fillId="0" borderId="1" xfId="6" applyNumberFormat="1" applyBorder="1" applyAlignment="1">
      <alignment horizontal="center" vertical="center"/>
    </xf>
    <xf numFmtId="0" fontId="30" fillId="0" borderId="1" xfId="6" applyBorder="1" applyAlignment="1">
      <alignment horizontal="center" vertical="center"/>
    </xf>
    <xf numFmtId="0" fontId="34"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0"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5" fillId="0" borderId="0" xfId="0" applyFont="1" applyAlignment="1">
      <alignment vertical="center"/>
    </xf>
    <xf numFmtId="165" fontId="0" fillId="0" borderId="0" xfId="0" applyNumberFormat="1"/>
    <xf numFmtId="165" fontId="1" fillId="0" borderId="0" xfId="1" applyNumberFormat="1" applyFont="1" applyBorder="1"/>
    <xf numFmtId="0" fontId="34" fillId="0" borderId="0" xfId="0" applyFont="1" applyAlignment="1">
      <alignment horizontal="center" vertical="center"/>
    </xf>
    <xf numFmtId="165" fontId="0" fillId="0" borderId="5" xfId="1" applyNumberFormat="1" applyFont="1" applyBorder="1"/>
    <xf numFmtId="165" fontId="2" fillId="0" borderId="0" xfId="0" applyNumberFormat="1" applyFont="1"/>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6" fillId="0" borderId="0" xfId="0" applyFont="1"/>
    <xf numFmtId="0" fontId="21" fillId="0" borderId="1" xfId="4" applyFont="1" applyBorder="1" applyAlignment="1">
      <alignment horizontal="left"/>
    </xf>
    <xf numFmtId="0" fontId="37" fillId="0" borderId="0" xfId="0" applyFont="1"/>
    <xf numFmtId="165" fontId="0" fillId="0" borderId="0" xfId="0" applyNumberFormat="1" applyAlignment="1">
      <alignment horizontal="center"/>
    </xf>
    <xf numFmtId="0" fontId="2" fillId="5" borderId="0" xfId="0" applyFont="1" applyFill="1" applyAlignment="1">
      <alignment horizontal="center" vertical="center" wrapText="1"/>
    </xf>
    <xf numFmtId="0" fontId="0" fillId="5" borderId="0" xfId="0" applyFill="1"/>
    <xf numFmtId="0" fontId="2" fillId="5" borderId="0" xfId="0" applyFont="1" applyFill="1" applyAlignment="1">
      <alignment horizontal="center" wrapText="1"/>
    </xf>
    <xf numFmtId="0" fontId="0" fillId="5" borderId="0" xfId="0" applyFill="1" applyAlignment="1">
      <alignment horizontal="center"/>
    </xf>
    <xf numFmtId="0" fontId="2" fillId="5" borderId="0" xfId="0" applyFont="1" applyFill="1" applyAlignment="1">
      <alignment horizontal="center" vertical="center"/>
    </xf>
    <xf numFmtId="0" fontId="34" fillId="5" borderId="0" xfId="0" applyFont="1" applyFill="1" applyAlignment="1">
      <alignment vertical="center"/>
    </xf>
    <xf numFmtId="0" fontId="38" fillId="6" borderId="51" xfId="0" applyFont="1" applyFill="1" applyBorder="1"/>
    <xf numFmtId="0" fontId="38" fillId="6" borderId="50" xfId="0" applyFont="1" applyFill="1" applyBorder="1"/>
    <xf numFmtId="0" fontId="0" fillId="7" borderId="50" xfId="0" applyFill="1" applyBorder="1"/>
    <xf numFmtId="0" fontId="38" fillId="6" borderId="50" xfId="0" applyFont="1" applyFill="1" applyBorder="1" applyAlignment="1">
      <alignment horizontal="center"/>
    </xf>
    <xf numFmtId="0" fontId="0" fillId="7" borderId="51" xfId="0" applyFill="1" applyBorder="1" applyAlignment="1">
      <alignment horizontal="center"/>
    </xf>
    <xf numFmtId="0" fontId="0" fillId="7" borderId="50" xfId="0" applyFill="1" applyBorder="1" applyAlignment="1">
      <alignment horizontal="center"/>
    </xf>
    <xf numFmtId="0" fontId="0" fillId="7" borderId="52" xfId="0" applyFill="1" applyBorder="1"/>
    <xf numFmtId="165" fontId="2" fillId="7" borderId="52" xfId="0" applyNumberFormat="1" applyFont="1" applyFill="1" applyBorder="1"/>
    <xf numFmtId="0" fontId="2" fillId="7" borderId="50" xfId="0" applyFont="1" applyFill="1" applyBorder="1"/>
    <xf numFmtId="165" fontId="0" fillId="7" borderId="52" xfId="1" applyNumberFormat="1" applyFont="1" applyFill="1" applyBorder="1"/>
    <xf numFmtId="0" fontId="0" fillId="0" borderId="51" xfId="0" applyBorder="1" applyAlignment="1">
      <alignment horizontal="center"/>
    </xf>
    <xf numFmtId="0" fontId="0" fillId="0" borderId="50" xfId="0" applyBorder="1" applyAlignment="1">
      <alignment horizontal="center"/>
    </xf>
    <xf numFmtId="0" fontId="0" fillId="0" borderId="52" xfId="0" applyBorder="1"/>
    <xf numFmtId="165" fontId="2" fillId="0" borderId="52" xfId="0" applyNumberFormat="1" applyFont="1" applyBorder="1"/>
    <xf numFmtId="0" fontId="2" fillId="0" borderId="50" xfId="0" applyFont="1" applyBorder="1"/>
    <xf numFmtId="165" fontId="0" fillId="0" borderId="52" xfId="1" applyNumberFormat="1" applyFont="1" applyBorder="1"/>
    <xf numFmtId="165" fontId="2" fillId="0" borderId="52" xfId="1" applyNumberFormat="1" applyFont="1" applyBorder="1"/>
    <xf numFmtId="165" fontId="2" fillId="7" borderId="52" xfId="1" applyNumberFormat="1" applyFont="1" applyFill="1" applyBorder="1"/>
    <xf numFmtId="165" fontId="0" fillId="7" borderId="50" xfId="1" applyNumberFormat="1" applyFont="1" applyFill="1" applyBorder="1"/>
    <xf numFmtId="165" fontId="2" fillId="0" borderId="50" xfId="0" applyNumberFormat="1" applyFont="1" applyBorder="1"/>
    <xf numFmtId="165" fontId="0" fillId="0" borderId="50" xfId="1" applyNumberFormat="1" applyFont="1" applyBorder="1"/>
    <xf numFmtId="165" fontId="2" fillId="7" borderId="50" xfId="0" applyNumberFormat="1" applyFont="1" applyFill="1" applyBorder="1"/>
    <xf numFmtId="1" fontId="38" fillId="6" borderId="50" xfId="0" applyNumberFormat="1" applyFont="1" applyFill="1" applyBorder="1"/>
    <xf numFmtId="1" fontId="0" fillId="7" borderId="52" xfId="0" applyNumberFormat="1" applyFill="1" applyBorder="1"/>
    <xf numFmtId="1" fontId="0" fillId="0" borderId="0" xfId="0" applyNumberFormat="1"/>
    <xf numFmtId="43" fontId="4" fillId="0" borderId="2" xfId="3" applyFont="1" applyBorder="1" applyAlignment="1">
      <alignment horizontal="left"/>
    </xf>
    <xf numFmtId="43" fontId="4" fillId="0" borderId="3" xfId="3" applyFont="1" applyBorder="1" applyAlignment="1">
      <alignment horizontal="left"/>
    </xf>
    <xf numFmtId="43" fontId="4" fillId="0" borderId="4" xfId="3" applyFont="1" applyBorder="1" applyAlignment="1">
      <alignment horizontal="center"/>
    </xf>
    <xf numFmtId="165" fontId="4" fillId="0" borderId="4" xfId="3" applyNumberFormat="1" applyFont="1" applyBorder="1" applyAlignment="1"/>
    <xf numFmtId="0" fontId="4" fillId="0" borderId="0" xfId="0" applyFont="1"/>
    <xf numFmtId="0" fontId="39" fillId="0" borderId="0" xfId="2" applyFont="1"/>
    <xf numFmtId="9" fontId="2" fillId="0" borderId="0" xfId="7" applyFont="1" applyAlignment="1">
      <alignment horizontal="center"/>
    </xf>
    <xf numFmtId="0" fontId="2" fillId="0" borderId="0" xfId="0" applyFont="1" applyAlignment="1">
      <alignment horizontal="left"/>
    </xf>
    <xf numFmtId="0" fontId="2" fillId="0" borderId="0" xfId="0" applyFont="1" applyAlignment="1">
      <alignment horizontal="center"/>
    </xf>
    <xf numFmtId="0" fontId="0" fillId="0" borderId="0" xfId="0" applyAlignment="1">
      <alignment horizontal="center" vertical="center"/>
    </xf>
    <xf numFmtId="0" fontId="0" fillId="7" borderId="0" xfId="0" applyFill="1"/>
    <xf numFmtId="165" fontId="0" fillId="7" borderId="0" xfId="1" applyNumberFormat="1" applyFont="1" applyFill="1" applyBorder="1"/>
    <xf numFmtId="165" fontId="0" fillId="0" borderId="52" xfId="0" applyNumberFormat="1" applyBorder="1"/>
    <xf numFmtId="0" fontId="40" fillId="0" borderId="0" xfId="6" applyFont="1" applyAlignment="1">
      <alignment horizontal="center"/>
    </xf>
    <xf numFmtId="0" fontId="41" fillId="5" borderId="0" xfId="6" applyFont="1" applyFill="1" applyBorder="1" applyAlignment="1">
      <alignment horizontal="center" vertical="center"/>
    </xf>
    <xf numFmtId="49" fontId="29" fillId="0" borderId="0" xfId="4" applyNumberFormat="1" applyFont="1" applyAlignment="1">
      <alignment horizontal="center"/>
    </xf>
    <xf numFmtId="0" fontId="42" fillId="5" borderId="0" xfId="6" applyFont="1" applyFill="1" applyBorder="1" applyAlignment="1">
      <alignment horizontal="center" vertical="center"/>
    </xf>
    <xf numFmtId="0" fontId="0" fillId="8" borderId="0" xfId="0" applyFill="1" applyAlignment="1">
      <alignment wrapText="1"/>
    </xf>
    <xf numFmtId="164" fontId="5" fillId="0" borderId="1" xfId="2" applyNumberFormat="1" applyFont="1" applyBorder="1" applyAlignment="1">
      <alignment horizontal="center" vertical="center"/>
    </xf>
    <xf numFmtId="0" fontId="17" fillId="0" borderId="9" xfId="4" applyFont="1" applyBorder="1" applyAlignment="1">
      <alignment wrapText="1"/>
    </xf>
    <xf numFmtId="0" fontId="17" fillId="0" borderId="10" xfId="4" applyFont="1" applyBorder="1" applyAlignment="1">
      <alignment wrapText="1"/>
    </xf>
    <xf numFmtId="0" fontId="17" fillId="0" borderId="9" xfId="4" applyFont="1" applyBorder="1" applyAlignment="1">
      <alignment horizontal="left" wrapText="1"/>
    </xf>
    <xf numFmtId="0" fontId="17" fillId="0" borderId="11" xfId="4" applyFont="1" applyBorder="1" applyAlignment="1">
      <alignment horizontal="left" wrapText="1"/>
    </xf>
    <xf numFmtId="0" fontId="10" fillId="0" borderId="11" xfId="4" applyFont="1" applyBorder="1" applyAlignment="1">
      <alignment horizontal="left" wrapText="1"/>
    </xf>
    <xf numFmtId="0" fontId="10" fillId="0" borderId="10" xfId="4" applyFont="1" applyBorder="1" applyAlignment="1">
      <alignment horizontal="left" wrapText="1"/>
    </xf>
    <xf numFmtId="0" fontId="10" fillId="0" borderId="9" xfId="4" applyFont="1" applyBorder="1" applyAlignment="1">
      <alignment horizontal="center"/>
    </xf>
    <xf numFmtId="0" fontId="10" fillId="0" borderId="11" xfId="4" applyFont="1" applyBorder="1" applyAlignment="1">
      <alignment horizontal="center"/>
    </xf>
    <xf numFmtId="0" fontId="18" fillId="0" borderId="9" xfId="4" applyFont="1" applyBorder="1" applyAlignment="1">
      <alignment horizontal="center" textRotation="60"/>
    </xf>
    <xf numFmtId="0" fontId="18" fillId="0" borderId="10" xfId="4" applyFont="1" applyBorder="1" applyAlignment="1">
      <alignment horizontal="center" textRotation="60"/>
    </xf>
    <xf numFmtId="0" fontId="5" fillId="0" borderId="28" xfId="4" applyBorder="1"/>
    <xf numFmtId="0" fontId="5" fillId="0" borderId="29" xfId="4" applyBorder="1"/>
    <xf numFmtId="0" fontId="18" fillId="0" borderId="12" xfId="4" applyFont="1" applyBorder="1" applyAlignment="1">
      <alignment horizontal="center" textRotation="60"/>
    </xf>
    <xf numFmtId="0" fontId="18"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1" fillId="0" borderId="0" xfId="4" applyFont="1" applyAlignment="1">
      <alignment horizontal="center"/>
    </xf>
    <xf numFmtId="0" fontId="5" fillId="0" borderId="37" xfId="4" applyBorder="1"/>
    <xf numFmtId="0" fontId="5" fillId="0" borderId="43" xfId="4" applyBorder="1"/>
    <xf numFmtId="0" fontId="28"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21" fillId="0" borderId="14" xfId="4" applyFont="1" applyBorder="1" applyAlignment="1">
      <alignment textRotation="60"/>
    </xf>
    <xf numFmtId="0" fontId="21" fillId="0" borderId="23" xfId="4" applyFont="1" applyBorder="1" applyAlignment="1">
      <alignment textRotation="60"/>
    </xf>
    <xf numFmtId="0" fontId="21" fillId="0" borderId="0" xfId="4" applyFont="1" applyAlignment="1">
      <alignment horizontal="center"/>
    </xf>
  </cellXfs>
  <cellStyles count="8">
    <cellStyle name="Hyperlink" xfId="6" builtinId="8"/>
    <cellStyle name="Hyperlink 2" xfId="5" xr:uid="{3B363FF5-CBFF-4B76-AC35-216A8CB408D0}"/>
    <cellStyle name="Komma" xfId="1" builtinId="3"/>
    <cellStyle name="Komma 2" xfId="3" xr:uid="{1E6EE7B6-4168-45D0-8DB7-75F9086FBD70}"/>
    <cellStyle name="Procent" xfId="7" builtinId="5"/>
    <cellStyle name="Standaard" xfId="0" builtinId="0"/>
    <cellStyle name="Standaard 2 2" xfId="4" xr:uid="{0DBDACB0-9517-4CC0-B369-1665EBC98E22}"/>
    <cellStyle name="Verklarende tekst 2" xfId="2" xr:uid="{C6704A2F-0CBA-47B8-A9F9-96D2B1991E40}"/>
  </cellStyles>
  <dxfs count="159">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strike val="0"/>
        <outline val="0"/>
        <shadow val="0"/>
        <u/>
        <vertAlign val="baseline"/>
        <sz val="14"/>
        <color theme="10"/>
        <name val="Calibri"/>
        <family val="2"/>
        <scheme val="minor"/>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1697101</xdr:colOff>
      <xdr:row>0</xdr:row>
      <xdr:rowOff>19878</xdr:rowOff>
    </xdr:from>
    <xdr:to>
      <xdr:col>6</xdr:col>
      <xdr:colOff>322246</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445160</xdr:colOff>
      <xdr:row>0</xdr:row>
      <xdr:rowOff>0</xdr:rowOff>
    </xdr:from>
    <xdr:to>
      <xdr:col>7</xdr:col>
      <xdr:colOff>923837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784860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99060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985508"/>
          <a:ext cx="5823631" cy="9906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108796</xdr:rowOff>
        </xdr:from>
        <xdr:to>
          <xdr:col>21</xdr:col>
          <xdr:colOff>277706</xdr:colOff>
          <xdr:row>93</xdr:row>
          <xdr:rowOff>291042</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64663"/>
              <a:ext cx="6051972" cy="182246"/>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85733"/>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56813"/>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60172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2003133"/>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862067"/>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7379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195792</xdr:colOff>
      <xdr:row>68</xdr:row>
      <xdr:rowOff>88688</xdr:rowOff>
    </xdr:from>
    <xdr:to>
      <xdr:col>20</xdr:col>
      <xdr:colOff>375072</xdr:colOff>
      <xdr:row>68</xdr:row>
      <xdr:rowOff>263101</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2752725" y="17682421"/>
          <a:ext cx="6029747" cy="174413"/>
          <a:chOff x="10157" y="251460"/>
          <a:chExt cx="40533" cy="1905"/>
        </a:xfrm>
      </xdr:grpSpPr>
      <xdr:sp macro="" textlink="">
        <xdr:nvSpPr>
          <xdr:cNvPr id="5191" name="Button 71" hidden="1">
            <a:extLst>
              <a:ext uri="{63B3BB69-23CF-44E3-9099-C40C66FF867C}">
                <a14:compatExt xmlns:a14="http://schemas.microsoft.com/office/drawing/2010/main"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xmlns:a14="http://schemas.microsoft.com/office/drawing/2010/main"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xmlns:a14="http://schemas.microsoft.com/office/drawing/2010/main"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xmlns:a14="http://schemas.microsoft.com/office/drawing/2010/main"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xmlns:a14="http://schemas.microsoft.com/office/drawing/2010/main"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xmlns:a14="http://schemas.microsoft.com/office/drawing/2010/main"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xmlns:a14="http://schemas.microsoft.com/office/drawing/2010/main"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xmlns:a14="http://schemas.microsoft.com/office/drawing/2010/main"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xmlns:a14="http://schemas.microsoft.com/office/drawing/2010/main"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91016</xdr:colOff>
          <xdr:row>118</xdr:row>
          <xdr:rowOff>164043</xdr:rowOff>
        </xdr:from>
        <xdr:to>
          <xdr:col>20</xdr:col>
          <xdr:colOff>290407</xdr:colOff>
          <xdr:row>119</xdr:row>
          <xdr:rowOff>51648</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647949" y="29949776"/>
              <a:ext cx="6049858" cy="175472"/>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141816</xdr:colOff>
          <xdr:row>143</xdr:row>
          <xdr:rowOff>190501</xdr:rowOff>
        </xdr:from>
        <xdr:to>
          <xdr:col>20</xdr:col>
          <xdr:colOff>341207</xdr:colOff>
          <xdr:row>144</xdr:row>
          <xdr:rowOff>84456</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698749" y="36207701"/>
              <a:ext cx="6049858" cy="181822"/>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48682</xdr:colOff>
          <xdr:row>168</xdr:row>
          <xdr:rowOff>228600</xdr:rowOff>
        </xdr:from>
        <xdr:to>
          <xdr:col>20</xdr:col>
          <xdr:colOff>248073</xdr:colOff>
          <xdr:row>169</xdr:row>
          <xdr:rowOff>119380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605615" y="42231733"/>
              <a:ext cx="6049858" cy="178647"/>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297392</xdr:colOff>
          <xdr:row>193</xdr:row>
          <xdr:rowOff>169333</xdr:rowOff>
        </xdr:from>
        <xdr:to>
          <xdr:col>20</xdr:col>
          <xdr:colOff>154941</xdr:colOff>
          <xdr:row>194</xdr:row>
          <xdr:rowOff>56938</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07192" y="48031400"/>
              <a:ext cx="6055149" cy="175471"/>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186267</xdr:colOff>
          <xdr:row>44</xdr:row>
          <xdr:rowOff>11430</xdr:rowOff>
        </xdr:from>
        <xdr:to>
          <xdr:col>21</xdr:col>
          <xdr:colOff>311573</xdr:colOff>
          <xdr:row>44</xdr:row>
          <xdr:rowOff>192617</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90334" y="11661563"/>
              <a:ext cx="6051972"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99483</xdr:colOff>
          <xdr:row>243</xdr:row>
          <xdr:rowOff>173567</xdr:rowOff>
        </xdr:from>
        <xdr:to>
          <xdr:col>20</xdr:col>
          <xdr:colOff>298874</xdr:colOff>
          <xdr:row>244</xdr:row>
          <xdr:rowOff>61172</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656416" y="59745034"/>
              <a:ext cx="6049858" cy="175471"/>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40216</xdr:colOff>
          <xdr:row>268</xdr:row>
          <xdr:rowOff>234951</xdr:rowOff>
        </xdr:from>
        <xdr:to>
          <xdr:col>20</xdr:col>
          <xdr:colOff>239607</xdr:colOff>
          <xdr:row>269</xdr:row>
          <xdr:rowOff>131022</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97149" y="65665351"/>
              <a:ext cx="6049858" cy="183938"/>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48683</xdr:colOff>
          <xdr:row>293</xdr:row>
          <xdr:rowOff>169333</xdr:rowOff>
        </xdr:from>
        <xdr:to>
          <xdr:col>20</xdr:col>
          <xdr:colOff>248074</xdr:colOff>
          <xdr:row>294</xdr:row>
          <xdr:rowOff>56938</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605616" y="71433266"/>
              <a:ext cx="6049858" cy="175472"/>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7072067"/>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931000"/>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141816</xdr:colOff>
          <xdr:row>368</xdr:row>
          <xdr:rowOff>175683</xdr:rowOff>
        </xdr:from>
        <xdr:to>
          <xdr:col>20</xdr:col>
          <xdr:colOff>341207</xdr:colOff>
          <xdr:row>369</xdr:row>
          <xdr:rowOff>63288</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698749" y="88940216"/>
              <a:ext cx="6049858" cy="175472"/>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99482</xdr:colOff>
          <xdr:row>393</xdr:row>
          <xdr:rowOff>147108</xdr:rowOff>
        </xdr:from>
        <xdr:to>
          <xdr:col>20</xdr:col>
          <xdr:colOff>298873</xdr:colOff>
          <xdr:row>394</xdr:row>
          <xdr:rowOff>34713</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656415" y="94795975"/>
              <a:ext cx="6049858" cy="175471"/>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331258</xdr:colOff>
          <xdr:row>418</xdr:row>
          <xdr:rowOff>208493</xdr:rowOff>
        </xdr:from>
        <xdr:to>
          <xdr:col>20</xdr:col>
          <xdr:colOff>188807</xdr:colOff>
          <xdr:row>419</xdr:row>
          <xdr:rowOff>107739</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41058" y="100690893"/>
              <a:ext cx="6055149" cy="187113"/>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280458</xdr:colOff>
          <xdr:row>443</xdr:row>
          <xdr:rowOff>162984</xdr:rowOff>
        </xdr:from>
        <xdr:to>
          <xdr:col>20</xdr:col>
          <xdr:colOff>138007</xdr:colOff>
          <xdr:row>444</xdr:row>
          <xdr:rowOff>53764</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490258" y="106529717"/>
              <a:ext cx="6055149" cy="178647"/>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167216</xdr:colOff>
          <xdr:row>468</xdr:row>
          <xdr:rowOff>112183</xdr:rowOff>
        </xdr:from>
        <xdr:to>
          <xdr:col>20</xdr:col>
          <xdr:colOff>366607</xdr:colOff>
          <xdr:row>469</xdr:row>
          <xdr:rowOff>7196</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724149" y="112337850"/>
              <a:ext cx="6049858" cy="182879"/>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60960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82550</xdr:colOff>
          <xdr:row>218</xdr:row>
          <xdr:rowOff>138641</xdr:rowOff>
        </xdr:from>
        <xdr:to>
          <xdr:col>20</xdr:col>
          <xdr:colOff>281941</xdr:colOff>
          <xdr:row>219</xdr:row>
          <xdr:rowOff>25187</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639483" y="53876574"/>
              <a:ext cx="6049858" cy="174413"/>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23282</xdr:colOff>
          <xdr:row>318</xdr:row>
          <xdr:rowOff>112183</xdr:rowOff>
        </xdr:from>
        <xdr:to>
          <xdr:col>20</xdr:col>
          <xdr:colOff>222673</xdr:colOff>
          <xdr:row>318</xdr:row>
          <xdr:rowOff>295063</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80215" y="77184250"/>
              <a:ext cx="6049858" cy="17526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74083</xdr:colOff>
          <xdr:row>343</xdr:row>
          <xdr:rowOff>114301</xdr:rowOff>
        </xdr:from>
        <xdr:to>
          <xdr:col>20</xdr:col>
          <xdr:colOff>273474</xdr:colOff>
          <xdr:row>344</xdr:row>
          <xdr:rowOff>1906</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631016" y="83045301"/>
              <a:ext cx="6049858" cy="175472"/>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92075</xdr:colOff>
          <xdr:row>68</xdr:row>
          <xdr:rowOff>59055</xdr:rowOff>
        </xdr:from>
        <xdr:to>
          <xdr:col>21</xdr:col>
          <xdr:colOff>220980</xdr:colOff>
          <xdr:row>68</xdr:row>
          <xdr:rowOff>249555</xdr:rowOff>
        </xdr:to>
        <xdr:grpSp>
          <xdr:nvGrpSpPr>
            <xdr:cNvPr id="5885" name="Group 166">
              <a:extLst>
                <a:ext uri="{FF2B5EF4-FFF2-40B4-BE49-F238E27FC236}">
                  <a16:creationId xmlns:a16="http://schemas.microsoft.com/office/drawing/2014/main" id="{00000000-0008-0000-0200-0000FD160000}"/>
                </a:ext>
              </a:extLst>
            </xdr:cNvPr>
            <xdr:cNvGrpSpPr>
              <a:grpSpLocks/>
            </xdr:cNvGrpSpPr>
          </xdr:nvGrpSpPr>
          <xdr:grpSpPr bwMode="auto">
            <a:xfrm>
              <a:off x="2996142" y="17652788"/>
              <a:ext cx="6055571" cy="190500"/>
              <a:chOff x="10157" y="251460"/>
              <a:chExt cx="40533" cy="1905"/>
            </a:xfrm>
          </xdr:grpSpPr>
          <xdr:sp macro="" textlink="">
            <xdr:nvSpPr>
              <xdr:cNvPr id="39" name="Button 71" hidden="1">
                <a:extLst>
                  <a:ext uri="{63B3BB69-23CF-44E3-9099-C40C66FF867C}">
                    <a14:compatExt spid="_x0000_s5191"/>
                  </a:ext>
                  <a:ext uri="{FF2B5EF4-FFF2-40B4-BE49-F238E27FC236}">
                    <a16:creationId xmlns:a16="http://schemas.microsoft.com/office/drawing/2014/main" id="{00000000-0008-0000-0200-000027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40" name="Button 72" hidden="1">
                <a:extLst>
                  <a:ext uri="{63B3BB69-23CF-44E3-9099-C40C66FF867C}">
                    <a14:compatExt spid="_x0000_s5192"/>
                  </a:ext>
                  <a:ext uri="{FF2B5EF4-FFF2-40B4-BE49-F238E27FC236}">
                    <a16:creationId xmlns:a16="http://schemas.microsoft.com/office/drawing/2014/main" id="{00000000-0008-0000-0200-000028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1" name="Button 73" hidden="1">
                <a:extLst>
                  <a:ext uri="{63B3BB69-23CF-44E3-9099-C40C66FF867C}">
                    <a14:compatExt spid="_x0000_s5193"/>
                  </a:ext>
                  <a:ext uri="{FF2B5EF4-FFF2-40B4-BE49-F238E27FC236}">
                    <a16:creationId xmlns:a16="http://schemas.microsoft.com/office/drawing/2014/main" id="{00000000-0008-0000-0200-000029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42" name="Button 74" hidden="1">
                <a:extLst>
                  <a:ext uri="{63B3BB69-23CF-44E3-9099-C40C66FF867C}">
                    <a14:compatExt spid="_x0000_s5194"/>
                  </a:ext>
                  <a:ext uri="{FF2B5EF4-FFF2-40B4-BE49-F238E27FC236}">
                    <a16:creationId xmlns:a16="http://schemas.microsoft.com/office/drawing/2014/main" id="{00000000-0008-0000-0200-00002A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43" name="Button 75" hidden="1">
                <a:extLst>
                  <a:ext uri="{63B3BB69-23CF-44E3-9099-C40C66FF867C}">
                    <a14:compatExt spid="_x0000_s5195"/>
                  </a:ext>
                  <a:ext uri="{FF2B5EF4-FFF2-40B4-BE49-F238E27FC236}">
                    <a16:creationId xmlns:a16="http://schemas.microsoft.com/office/drawing/2014/main" id="{00000000-0008-0000-0200-00002B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44" name="Button 76" hidden="1">
                <a:extLst>
                  <a:ext uri="{63B3BB69-23CF-44E3-9099-C40C66FF867C}">
                    <a14:compatExt spid="_x0000_s5196"/>
                  </a:ext>
                  <a:ext uri="{FF2B5EF4-FFF2-40B4-BE49-F238E27FC236}">
                    <a16:creationId xmlns:a16="http://schemas.microsoft.com/office/drawing/2014/main" id="{00000000-0008-0000-0200-00002C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45" name="Button 77" hidden="1">
                <a:extLst>
                  <a:ext uri="{63B3BB69-23CF-44E3-9099-C40C66FF867C}">
                    <a14:compatExt spid="_x0000_s5197"/>
                  </a:ext>
                  <a:ext uri="{FF2B5EF4-FFF2-40B4-BE49-F238E27FC236}">
                    <a16:creationId xmlns:a16="http://schemas.microsoft.com/office/drawing/2014/main" id="{00000000-0008-0000-0200-00002D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46" name="Button 78" hidden="1">
                <a:extLst>
                  <a:ext uri="{63B3BB69-23CF-44E3-9099-C40C66FF867C}">
                    <a14:compatExt spid="_x0000_s5198"/>
                  </a:ext>
                  <a:ext uri="{FF2B5EF4-FFF2-40B4-BE49-F238E27FC236}">
                    <a16:creationId xmlns:a16="http://schemas.microsoft.com/office/drawing/2014/main" id="{00000000-0008-0000-0200-00002E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47" name="Button 79" hidden="1">
                <a:extLst>
                  <a:ext uri="{63B3BB69-23CF-44E3-9099-C40C66FF867C}">
                    <a14:compatExt spid="_x0000_s5199"/>
                  </a:ext>
                  <a:ext uri="{FF2B5EF4-FFF2-40B4-BE49-F238E27FC236}">
                    <a16:creationId xmlns:a16="http://schemas.microsoft.com/office/drawing/2014/main" id="{00000000-0008-0000-0200-00002F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4" rowHeight="234950"/>
  <slicer name="Vereniging" xr10:uid="{68C8F00E-EAF7-4B8A-9C84-2C7BE06D1BDE}" cache="Slicer_Vereniging" caption="Vereniging" startItem="7"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871E95-668C-493D-BF17-59BB0B0475FA}" name="Tabel9" displayName="Tabel9" ref="A5:K16" totalsRowCount="1" headerRowDxfId="158" dataDxfId="157" headerRowCellStyle="Verklarende tekst 2" dataCellStyle="Verklarende tekst 2">
  <autoFilter ref="A5:K15" xr:uid="{FF871E95-668C-493D-BF17-59BB0B0475FA}"/>
  <tableColumns count="11">
    <tableColumn id="1" xr3:uid="{3BB49EC0-DD30-42D1-90E1-C3A4F337F28B}" name="maand" totalsRowLabel="Totaal" dataDxfId="156" totalsRowDxfId="155" dataCellStyle="Verklarende tekst 2"/>
    <tableColumn id="2" xr3:uid="{5ECA8D68-E0AA-4E06-BF59-5D18B05E2638}" name="locatie" dataDxfId="154" totalsRowDxfId="153" dataCellStyle="Verklarende tekst 2"/>
    <tableColumn id="3" xr3:uid="{A3634916-F40C-4CB8-BB8C-9827E7F547BC}" name="Floret KW" totalsRowFunction="sum" dataDxfId="152" totalsRowDxfId="151" dataCellStyle="Verklarende tekst 2"/>
    <tableColumn id="4" xr3:uid="{B2DA86BF-F584-4BBF-8E83-2DBD1139812C}" name="Floret GW" totalsRowFunction="sum" dataDxfId="150" totalsRowDxfId="149" dataCellStyle="Verklarende tekst 2"/>
    <tableColumn id="5" xr3:uid="{E431AEA1-C7DD-4E6C-B1FF-72A5CD52BE83}" name="Sabel KW" totalsRowFunction="sum" dataDxfId="148" totalsRowDxfId="147" dataCellStyle="Verklarende tekst 2"/>
    <tableColumn id="6" xr3:uid="{988E6E93-DF71-41FE-AE8A-23759595B7D1}" name="Sabel GW" totalsRowFunction="sum" dataDxfId="146" totalsRowDxfId="145" dataCellStyle="Verklarende tekst 2"/>
    <tableColumn id="7" xr3:uid="{E92FD4BC-4222-4634-AAF1-78CF1D6D6C08}" name="Degen KW" totalsRowFunction="sum" dataDxfId="144" totalsRowDxfId="143" dataCellStyle="Verklarende tekst 2"/>
    <tableColumn id="8" xr3:uid="{9E7A229E-3415-4D2D-B3D8-6889AD5ECA77}" name="Degen GW" totalsRowFunction="sum" dataDxfId="142" totalsRowDxfId="141" dataCellStyle="Verklarende tekst 2"/>
    <tableColumn id="9" xr3:uid="{6114233B-28F4-4F2A-B35A-101F2E20975E}" name="aantal deelnemers" totalsRowFunction="sum" dataDxfId="140" totalsRowDxfId="139" dataCellStyle="Verklarende tekst 2">
      <calculatedColumnFormula>SUM(Tabel9[[#This Row],[Floret KW]:[Degen GW]])</calculatedColumnFormula>
    </tableColumn>
    <tableColumn id="10" xr3:uid="{2C7A9436-EA2F-4861-AB17-2D3508B973D1}" name="aantal scheidsrechters" totalsRowFunction="sum" dataDxfId="138" totalsRowDxfId="137" dataCellStyle="Verklarende tekst 2"/>
    <tableColumn id="11" xr3:uid="{A2CF4580-8393-450D-9A96-F18ECFAEEA7F}" name="elektrisch" dataDxfId="136" totalsRowDxfId="135" dataCellStyle="Verklarende tekst 2"/>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5:BY199">
    <sortCondition ref="E5:E249"/>
  </sortState>
  <tableColumns count="77">
    <tableColumn id="1" xr3:uid="{A334AE55-14CF-48CD-B93D-EA107884C2D3}" name="wapen" totalsRowFunction="count" dataDxfId="134" totalsRowDxfId="12"/>
    <tableColumn id="2" xr3:uid="{61D81D0B-7756-4DF8-A3F2-240274217004}" name="elektrisch" dataDxfId="133" totalsRowDxfId="11"/>
    <tableColumn id="3" xr3:uid="{6729513E-DF7A-4CB5-AA99-9E6CFA0C6616}" name="aanwezigheid" totalsRowFunction="sum" dataDxfId="132" totalsRowDxfId="10"/>
    <tableColumn id="77" xr3:uid="{10D81612-7A79-406F-9BCB-F23F3D0A5CAA}" name="betaald" dataDxfId="131" totalsRowDxfId="9"/>
    <tableColumn id="4" xr3:uid="{B5BDA459-9C38-4775-AD2E-FECC83856787}" name="Naam"/>
    <tableColumn id="5" xr3:uid="{47EFC057-3165-4F19-9287-7A065B2EC8C3}" name="KNAS nr" dataDxfId="130" totalsRowDxfId="8"/>
    <tableColumn id="6" xr3:uid="{F6DD3C79-7693-4A6B-98B4-381DC0A835AF}" name="Vereniging" totalsRowDxfId="7"/>
    <tableColumn id="7" xr3:uid="{2445CDB8-60AE-4C61-A530-D54691F39B2C}" name="Totaal Punten" dataDxfId="129">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128"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127" dataCellStyle="Komma"/>
    <tableColumn id="13" xr3:uid="{EDFE0C4F-0BDA-439A-9B1D-15E6B52CCFB9}" name="LPR 1" totalsRowFunction="count" dataDxfId="126" totalsRowDxfId="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125"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124"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123"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122" totalsRowDxfId="4"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121" totalsRowDxfId="3">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120" totalsRowDxfId="2"/>
    <tableColumn id="75" xr3:uid="{8988E613-2422-40A5-AD40-F9EBABA383E1}" name="contr" dataDxfId="119" totalsRowDxfId="1">
      <calculatedColumnFormula>Tabel2[[#This Row],[Diploma]]-Tabel2[[#This Row],[Uitgeschreven]]</calculatedColumnFormula>
    </tableColumn>
    <tableColumn id="76" xr3:uid="{DFA90CD1-BD6A-4EBC-8551-DB8688BBE7BE}" name="Actie" totalsRowFunction="count" dataDxfId="118" totalsRowDxfId="0">
      <calculatedColumnFormula>IF(BX5=0,"geen actie",CONCATENATE("diploma uitschrijven: ",BV5," punten"))</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E6E149-3DB1-4DE8-9BA9-E955D688B308}" name="Tabel7" displayName="Tabel7" ref="CA4:CS250" totalsRowCount="1" headerRowDxfId="117" dataDxfId="116">
  <autoFilter ref="CA4:CS249" xr:uid="{2FE6E149-3DB1-4DE8-9BA9-E955D688B308}"/>
  <tableColumns count="19">
    <tableColumn id="1" xr3:uid="{8791C9A8-BF91-4A99-81BC-498770476E86}" name="begin seizoen" totalsRowLabel="Totaal"/>
    <tableColumn id="2" xr3:uid="{B447C63A-EB50-4D2C-BCBB-219D85362586}" name="punten seizoen" totalsRowFunction="custom" dataDxfId="115">
      <calculatedColumnFormula>Tabel2[[#This Row],[pnt 2022/2023]]</calculatedColumnFormula>
      <totalsRowFormula>COUNTIF(Tabel7[punten seizoen],"&gt;600")</totalsRowFormula>
    </tableColumn>
    <tableColumn id="3" xr3:uid="{CB4FCD0B-7155-4247-AA8F-576D8332839E}" name="huidige stand" dataDxfId="114" totalsRowDxfId="113">
      <calculatedColumnFormula>CA5+CB5</calculatedColumnFormula>
    </tableColumn>
    <tableColumn id="10" xr3:uid="{6FA78EAF-9B01-4BF0-AD31-E6953E450211}" name="sep" dataDxfId="112" totalsRowDxfId="111">
      <calculatedColumnFormula>IF(Tabel2[[#This Row],[LPR 1]]&gt;0,1,0)</calculatedColumnFormula>
    </tableColumn>
    <tableColumn id="11" xr3:uid="{3462D9C7-559B-4CC5-A18F-7AB25C1B13FD}" name="okt" dataDxfId="110" totalsRowDxfId="109">
      <calculatedColumnFormula>IF(Tabel2[[#This Row],[LPR 2]]&gt;0,1,0)</calculatedColumnFormula>
    </tableColumn>
    <tableColumn id="12" xr3:uid="{BFBCC71D-43C8-4215-ACBD-1D158BC16F8F}" name="nov" dataDxfId="108" totalsRowDxfId="107">
      <calculatedColumnFormula>IF(Tabel2[[#This Row],[LPR 3]]&gt;0,1,0)</calculatedColumnFormula>
    </tableColumn>
    <tableColumn id="13" xr3:uid="{E054DF9E-679B-4578-913E-CF50E08DC0E0}" name="dec" dataDxfId="106" totalsRowDxfId="105">
      <calculatedColumnFormula>IF(Tabel2[[#This Row],[LPR 4]]&gt;0,1,0)</calculatedColumnFormula>
    </tableColumn>
    <tableColumn id="14" xr3:uid="{8FA8F07B-82D1-4836-BC21-BFCFCAD0B55E}" name="jan" dataDxfId="104" totalsRowDxfId="103">
      <calculatedColumnFormula>IF(Tabel2[[#This Row],[LPR 5]]&gt;0,1,0)</calculatedColumnFormula>
    </tableColumn>
    <tableColumn id="15" xr3:uid="{DF0BC8D7-548A-429A-9401-5F883FC10998}" name="feb" dataDxfId="102" totalsRowDxfId="101">
      <calculatedColumnFormula>IF(Tabel2[[#This Row],[LPR 6]]&gt;0,1,0)</calculatedColumnFormula>
    </tableColumn>
    <tableColumn id="16" xr3:uid="{53241DED-86E3-49FA-8A5C-98515C96C20C}" name="mrt" dataDxfId="100" totalsRowDxfId="99">
      <calculatedColumnFormula>IF(Tabel2[[#This Row],[LPR 7]]&gt;0,1,0)</calculatedColumnFormula>
    </tableColumn>
    <tableColumn id="17" xr3:uid="{07ADD67D-15E8-4F43-9219-3B45091ECD06}" name="apr" dataDxfId="98" totalsRowDxfId="97">
      <calculatedColumnFormula>IF(Tabel2[[#This Row],[LPR 8]]&gt;0,1,0)</calculatedColumnFormula>
    </tableColumn>
    <tableColumn id="18" xr3:uid="{E1ADC7A6-B70E-488D-B7FC-E553A1F8E39A}" name="mei" dataDxfId="96" totalsRowDxfId="95">
      <calculatedColumnFormula>IF(Tabel2[[#This Row],[LPR 9]]&gt;0,1,0)</calculatedColumnFormula>
    </tableColumn>
    <tableColumn id="9" xr3:uid="{F63D32CD-7FE5-4C6D-A407-4D5D6277098C}" name="jun" dataDxfId="94" totalsRowDxfId="93">
      <calculatedColumnFormula>IF(Tabel2[[#This Row],[LPR 10]]&gt;0,1,0)</calculatedColumnFormula>
    </tableColumn>
    <tableColumn id="19" xr3:uid="{43D388A4-BFCC-467C-911C-A10BD01F28D3}" name="deelname" totalsRowFunction="custom" dataDxfId="92" totalsRowDxfId="91">
      <calculatedColumnFormula>SUM(Tabel7[[#This Row],[sep]:[jun]])</calculatedColumnFormula>
      <totalsRowFormula>COUNTIF(Tabel7[deelname],"&gt;6")</totalsRowFormula>
    </tableColumn>
    <tableColumn id="4" xr3:uid="{B22F1FDD-0E53-43A4-A8B4-A40CEB1BB562}" name="1000" totalsRowFunction="custom" dataDxfId="90" totalsRowDxfId="89">
      <calculatedColumnFormula>IF(AND($CA5&lt;1000,$CC5&gt;1000),"x","")</calculatedColumnFormula>
      <totalsRowFormula>COUNTIF(Tabel7[1000],"x")</totalsRowFormula>
    </tableColumn>
    <tableColumn id="5" xr3:uid="{297478BB-226F-4F03-B87C-535E8E3887B3}" name="1500" totalsRowFunction="custom" dataDxfId="88" totalsRowDxfId="87">
      <calculatedColumnFormula>IF(AND($CA5&lt;1500,$CC5&gt;1500),"x","")</calculatedColumnFormula>
      <totalsRowFormula>COUNTIF(Tabel7[1500],"x")</totalsRowFormula>
    </tableColumn>
    <tableColumn id="6" xr3:uid="{A38BB6BD-28B3-47C5-9F23-1E256A89C885}" name="2000" totalsRowFunction="custom" dataDxfId="86" totalsRowDxfId="85">
      <calculatedColumnFormula>IF(AND($CA5&lt;2000,$CC5&gt;2000),"x","")</calculatedColumnFormula>
      <totalsRowFormula>COUNTIF(Tabel7[2000],"x")</totalsRowFormula>
    </tableColumn>
    <tableColumn id="7" xr3:uid="{D6BC981C-FCC3-4C3E-8831-5A890E690553}" name="2500" totalsRowFunction="custom" totalsRowDxfId="84">
      <calculatedColumnFormula>IF(AND($CA5&lt;2500,$CC5&gt;2500),"x","")</calculatedColumnFormula>
      <totalsRowFormula>COUNTIF(Tabel7[2500],"x")</totalsRowFormula>
    </tableColumn>
    <tableColumn id="8" xr3:uid="{97CC2838-1D45-4405-B14A-3204B2A4048C}" name="3000" totalsRowFunction="custom" dataDxfId="83" totalsRowDxfId="82">
      <calculatedColumnFormula>IF(AND($CA5&lt;3000,$CC5&gt;3000),"x","")</calculatedColumnFormula>
      <totalsRowFormula>COUNTIF(Tabel7[3000],"x")</totalsRowFormula>
    </tableColumn>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81" dataDxfId="80">
  <autoFilter ref="X1:AC19" xr:uid="{EC327312-2FD2-4A91-8CAD-E9700FC24324}"/>
  <tableColumns count="6">
    <tableColumn id="6" xr3:uid="{026ED33D-D8CE-478D-B3EE-5E9F5C5FDC08}" name="ga naar poule" dataDxfId="79"/>
    <tableColumn id="5" xr3:uid="{6B22D386-6ADF-4FD4-8A5D-56F6937F1FA3}" name="wapen D/F/S" dataDxfId="78"/>
    <tableColumn id="1" xr3:uid="{287950D6-B437-48BC-B2E0-90BA62B1BC3B}" name="Loper nr." dataDxfId="77"/>
    <tableColumn id="2" xr3:uid="{F5F5B7A3-FAAC-40B1-B7F9-EF503412C8F8}" name="Poule E/M/G" dataDxfId="76"/>
    <tableColumn id="3" xr3:uid="{0367D852-0A73-4489-8EAD-2D16B0096CA4}" name="wapen G/K" dataDxfId="75"/>
    <tableColumn id="4" xr3:uid="{DBF36606-0929-44DA-B305-8B1C472D0B75}" name="#" dataDxfId="74"/>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73" dataDxfId="72" headerRowCellStyle="Standaard 2 2" dataCellStyle="Standaard 2 2">
  <autoFilter ref="AS1:AU19" xr:uid="{B5A1E109-71F0-421B-83AF-C668837FB5F8}"/>
  <tableColumns count="3">
    <tableColumn id="1" xr3:uid="{BEA14765-EFFE-4115-A034-AAF4383A7304}" name="PR" dataDxfId="71" dataCellStyle="Standaard 2 2"/>
    <tableColumn id="2" xr3:uid="{A9B4DEDA-133E-4F2A-984A-920D27AF4E86}" name="RIJ" dataDxfId="70" dataCellStyle="Standaard 2 2"/>
    <tableColumn id="3" xr3:uid="{D0985641-B640-4A56-8C74-F35FB18FB39A}" name="KOLOM" dataDxfId="69" dataCellStyle="Standaard 2 2"/>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68" dataDxfId="67" headerRowCellStyle="Standaard 2 2" dataCellStyle="Standaard 2 2">
  <autoFilter ref="AW1:AY10" xr:uid="{5B3E0056-AA78-41FB-9806-7BFD577D2DDD}"/>
  <tableColumns count="3">
    <tableColumn id="1" xr3:uid="{2DB8B3CF-E40C-47B3-A661-F8F935BF3026}" name="KOPIE" dataDxfId="66" dataCellStyle="Standaard 2 2"/>
    <tableColumn id="2" xr3:uid="{31AF35D2-8385-4A2B-B89A-CA662FADA1E0}" name="RIJ" dataDxfId="65" dataCellStyle="Standaard 2 2"/>
    <tableColumn id="3" xr3:uid="{6F94AFCD-2143-44D8-B7DD-96A92BA3C907}" name="KOLOM" dataDxfId="64" dataCellStyle="Standaard 2 2"/>
  </tableColumns>
  <tableStyleInfo name="TableStyleLight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F93A22-E529-449C-A144-DB0E88959342}" name="Tabel1" displayName="Tabel1" ref="A1:U77" totalsRowCount="1">
  <autoFilter ref="A1:U76" xr:uid="{359AF6B3-316A-4521-83F5-975D5FA587AE}"/>
  <sortState xmlns:xlrd2="http://schemas.microsoft.com/office/spreadsheetml/2017/richdata2" ref="A2:U76">
    <sortCondition ref="B2:B76"/>
    <sortCondition ref="A2:A76"/>
  </sortState>
  <tableColumns count="21">
    <tableColumn id="1" xr3:uid="{8913EBBF-050E-4088-A065-898E460E4B01}" name="Naam" totalsRowLabel="Totaal per maand" dataDxfId="63" totalsRowDxfId="62" dataCellStyle="Verklarende tekst 2"/>
    <tableColumn id="2" xr3:uid="{1FDC3ACF-02A2-428F-93B9-766541AD75C5}" name="Vereniging" totalsRowFunction="count" dataDxfId="61" totalsRowDxfId="60" dataCellStyle="Verklarende tekst 2"/>
    <tableColumn id="3" xr3:uid="{87258C6B-6BC1-42CA-8B23-DD868DB5DB8F}" name="floret" dataDxfId="59" totalsRowDxfId="58" dataCellStyle="Verklarende tekst 2"/>
    <tableColumn id="4" xr3:uid="{A5D59F26-A93B-4678-8D95-1784CC93EBB2}" name="sabel" dataDxfId="57" totalsRowDxfId="56" dataCellStyle="Verklarende tekst 2"/>
    <tableColumn id="5" xr3:uid="{7019EB52-F107-464D-A78A-30BE412E465B}" name="degen" dataDxfId="55" totalsRowDxfId="54" dataCellStyle="Verklarende tekst 2"/>
    <tableColumn id="6" xr3:uid="{DD97D4F5-766B-464B-BF1F-9C4E04D74107}" name="opmerking" dataDxfId="53" totalsRowDxfId="52" dataCellStyle="Verklarende tekst 2"/>
    <tableColumn id="7" xr3:uid="{FA33E786-924D-425B-94CB-05D4DD446C0B}" name="diploma/i.o." dataDxfId="51" totalsRowDxfId="50" dataCellStyle="Verklarende tekst 2"/>
    <tableColumn id="8" xr3:uid="{9061F790-4FBB-4AAB-AA5A-3C90284A199B}" name="niveau" dataDxfId="49" totalsRowDxfId="48" dataCellStyle="Verklarende tekst 2"/>
    <tableColumn id="9" xr3:uid="{D401653E-C523-4C36-96F7-21C60057F490}" name="gen. totaal" dataDxfId="47" totalsRowDxfId="46" dataCellStyle="Verklarende tekst 2">
      <calculatedColumnFormula>J2+K2</calculatedColumnFormula>
    </tableColumn>
    <tableColumn id="10" xr3:uid="{7DDBA384-659F-4D97-8902-CE0A81F60F48}" name="totaal 2022/2023" totalsRowFunction="count" dataDxfId="45" totalsRowDxfId="44" dataCellStyle="Verklarende tekst 2"/>
    <tableColumn id="11" xr3:uid="{B93076C7-A25D-4424-8EBA-7FB005C961E2}" name="aantal" totalsRowFunction="custom" dataDxfId="43" totalsRowDxfId="42" dataCellStyle="Verklarende tekst 2">
      <calculatedColumnFormula>SUM(L2:U2)</calculatedColumnFormula>
      <totalsRowFormula>COUNTIF(Tabel1[aantal],"&gt;0")</totalsRowFormula>
    </tableColumn>
    <tableColumn id="12" xr3:uid="{E0B9F0D8-9A04-4A7B-9B67-875F7CBE12C4}" name="Tilburg" totalsRowFunction="count"/>
    <tableColumn id="13" xr3:uid="{C93B63D7-B17E-4F9F-A02D-57E58649AACB}" name="Klundert" totalsRowFunction="count"/>
    <tableColumn id="14" xr3:uid="{C3428795-F969-488E-B1E7-E49F2E2D6530}" name="Schiedam" totalsRowFunction="count"/>
    <tableColumn id="15" xr3:uid="{EBFCC3C8-B308-48AB-97D9-E09ADCA45B0E}" name="Eefde" totalsRowFunction="count"/>
    <tableColumn id="16" xr3:uid="{62FCFA0F-CAB6-4392-9C49-E0A1C71D0979}" name="Baarn1" totalsRowFunction="count"/>
    <tableColumn id="17" xr3:uid="{B4BFDD0B-6B0B-47B1-A747-E71B2FC9AA33}" name="Utrecht" totalsRowFunction="count"/>
    <tableColumn id="18" xr3:uid="{F719811D-1E29-4647-9A88-1DB21E65A3CE}" name="Best" totalsRowFunction="count"/>
    <tableColumn id="19" xr3:uid="{2709C4A5-2C2F-4F4E-967F-D6B12B6E8C72}" name="Utrecht2" totalsRowFunction="count"/>
    <tableColumn id="20" xr3:uid="{3C04E760-9183-4E9D-8187-3C72608C22B9}" name="Baarn2" totalsRowFunction="count"/>
    <tableColumn id="21" xr3:uid="{FE81FE0B-819A-4A12-BEE6-C79233EC5B49}" name="Lent" totalsRowFunction="count"/>
  </tableColumns>
  <tableStyleInfo name="TableStyleMedium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microsoft.com/office/2007/relationships/slicer" Target="../slicers/slicer1.xml"/><Relationship Id="rId4" Type="http://schemas.openxmlformats.org/officeDocument/2006/relationships/ctrlProp" Target="../ctrlProps/ctrlProp1.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4.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5.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6.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3:AMK16"/>
  <sheetViews>
    <sheetView zoomScaleNormal="100" workbookViewId="0">
      <selection activeCell="F25" sqref="F25"/>
    </sheetView>
  </sheetViews>
  <sheetFormatPr defaultColWidth="8.88671875" defaultRowHeight="14.4" x14ac:dyDescent="0.3"/>
  <cols>
    <col min="1" max="8" width="11.44140625" style="32" customWidth="1"/>
    <col min="9" max="9" width="18.6640625" style="32" bestFit="1" customWidth="1"/>
    <col min="10" max="10" width="22" style="32" bestFit="1" customWidth="1"/>
    <col min="11" max="1025" width="11.44140625" style="32" customWidth="1"/>
    <col min="1026" max="16384" width="8.88671875" style="33"/>
  </cols>
  <sheetData>
    <row r="3" spans="1:11" ht="21" x14ac:dyDescent="0.4">
      <c r="A3" s="200" t="s">
        <v>0</v>
      </c>
    </row>
    <row r="5" spans="1:11" x14ac:dyDescent="0.3">
      <c r="A5" s="32" t="s">
        <v>1</v>
      </c>
      <c r="B5" s="32" t="s">
        <v>2</v>
      </c>
      <c r="C5" s="32" t="s">
        <v>3</v>
      </c>
      <c r="D5" s="32" t="s">
        <v>4</v>
      </c>
      <c r="E5" s="32" t="s">
        <v>5</v>
      </c>
      <c r="F5" s="32" t="s">
        <v>6</v>
      </c>
      <c r="G5" s="32" t="s">
        <v>7</v>
      </c>
      <c r="H5" s="32" t="s">
        <v>8</v>
      </c>
      <c r="I5" s="32" t="s">
        <v>9</v>
      </c>
      <c r="J5" s="32" t="s">
        <v>10</v>
      </c>
      <c r="K5" s="32" t="s">
        <v>11</v>
      </c>
    </row>
    <row r="6" spans="1:11" x14ac:dyDescent="0.3">
      <c r="A6" s="32" t="s">
        <v>12</v>
      </c>
      <c r="B6" s="32" t="s">
        <v>13</v>
      </c>
      <c r="C6" s="32">
        <v>2</v>
      </c>
      <c r="D6" s="32">
        <v>10</v>
      </c>
      <c r="E6" s="32">
        <v>3</v>
      </c>
      <c r="F6" s="32">
        <v>4</v>
      </c>
      <c r="G6" s="32">
        <v>6</v>
      </c>
      <c r="H6" s="32">
        <v>19</v>
      </c>
      <c r="I6" s="32">
        <f>SUM(Tabel9[[#This Row],[Floret KW]:[Degen GW]])</f>
        <v>44</v>
      </c>
      <c r="J6" s="32">
        <v>11</v>
      </c>
      <c r="K6" s="32" t="s">
        <v>14</v>
      </c>
    </row>
    <row r="7" spans="1:11" x14ac:dyDescent="0.3">
      <c r="A7" s="32" t="s">
        <v>15</v>
      </c>
      <c r="B7" s="32" t="s">
        <v>16</v>
      </c>
      <c r="C7" s="32">
        <v>8</v>
      </c>
      <c r="D7" s="32">
        <v>10</v>
      </c>
      <c r="E7" s="32">
        <v>2</v>
      </c>
      <c r="F7" s="32">
        <v>2</v>
      </c>
      <c r="G7" s="32">
        <v>6</v>
      </c>
      <c r="H7" s="32">
        <v>5</v>
      </c>
      <c r="I7" s="32">
        <f>SUM(Tabel9[[#This Row],[Floret KW]:[Degen GW]])</f>
        <v>33</v>
      </c>
      <c r="J7" s="32">
        <v>9</v>
      </c>
      <c r="K7" s="32" t="s">
        <v>14</v>
      </c>
    </row>
    <row r="8" spans="1:11" x14ac:dyDescent="0.3">
      <c r="A8" s="32" t="s">
        <v>17</v>
      </c>
      <c r="B8" s="32" t="s">
        <v>18</v>
      </c>
      <c r="C8" s="32">
        <v>14</v>
      </c>
      <c r="D8" s="32">
        <v>13</v>
      </c>
      <c r="E8" s="32">
        <v>3</v>
      </c>
      <c r="F8" s="32">
        <v>5</v>
      </c>
      <c r="G8" s="32">
        <v>7</v>
      </c>
      <c r="H8" s="32">
        <v>14</v>
      </c>
      <c r="I8" s="32">
        <f>SUM(Tabel9[[#This Row],[Floret KW]:[Degen GW]])</f>
        <v>56</v>
      </c>
      <c r="J8" s="32">
        <v>12</v>
      </c>
      <c r="K8" s="32" t="s">
        <v>14</v>
      </c>
    </row>
    <row r="9" spans="1:11" x14ac:dyDescent="0.3">
      <c r="A9" s="32" t="s">
        <v>19</v>
      </c>
      <c r="B9" s="32" t="s">
        <v>802</v>
      </c>
      <c r="I9" s="32">
        <f>SUM(Tabel9[[#This Row],[Floret KW]:[Degen GW]])</f>
        <v>0</v>
      </c>
    </row>
    <row r="10" spans="1:11" x14ac:dyDescent="0.3">
      <c r="A10" s="32" t="s">
        <v>21</v>
      </c>
      <c r="B10" s="32" t="s">
        <v>24</v>
      </c>
      <c r="I10" s="32">
        <f>SUM(Tabel9[[#This Row],[Floret KW]:[Degen GW]])</f>
        <v>0</v>
      </c>
    </row>
    <row r="11" spans="1:11" x14ac:dyDescent="0.3">
      <c r="A11" s="32" t="s">
        <v>23</v>
      </c>
      <c r="B11" s="32" t="s">
        <v>24</v>
      </c>
      <c r="I11" s="32">
        <f>SUM(Tabel9[[#This Row],[Floret KW]:[Degen GW]])</f>
        <v>0</v>
      </c>
    </row>
    <row r="12" spans="1:11" x14ac:dyDescent="0.3">
      <c r="A12" s="32" t="s">
        <v>25</v>
      </c>
      <c r="B12" s="32" t="s">
        <v>26</v>
      </c>
      <c r="I12" s="32">
        <f>SUM(Tabel9[[#This Row],[Floret KW]:[Degen GW]])</f>
        <v>0</v>
      </c>
    </row>
    <row r="13" spans="1:11" x14ac:dyDescent="0.3">
      <c r="A13" s="32" t="s">
        <v>27</v>
      </c>
      <c r="B13" s="32" t="s">
        <v>24</v>
      </c>
      <c r="I13" s="32">
        <f>SUM(Tabel9[[#This Row],[Floret KW]:[Degen GW]])</f>
        <v>0</v>
      </c>
    </row>
    <row r="14" spans="1:11" x14ac:dyDescent="0.3">
      <c r="A14" s="32" t="s">
        <v>28</v>
      </c>
      <c r="B14" s="32" t="s">
        <v>22</v>
      </c>
      <c r="I14" s="32">
        <f>SUM(Tabel9[[#This Row],[Floret KW]:[Degen GW]])</f>
        <v>0</v>
      </c>
    </row>
    <row r="15" spans="1:11" x14ac:dyDescent="0.3">
      <c r="A15" s="32" t="s">
        <v>29</v>
      </c>
      <c r="B15" s="32" t="s">
        <v>30</v>
      </c>
      <c r="I15" s="32">
        <f>SUM(Tabel9[[#This Row],[Floret KW]:[Degen GW]])</f>
        <v>0</v>
      </c>
    </row>
    <row r="16" spans="1:11" x14ac:dyDescent="0.3">
      <c r="A16" s="199" t="s">
        <v>31</v>
      </c>
      <c r="B16" s="199"/>
      <c r="C16" s="199">
        <f>SUBTOTAL(109,Tabel9[Floret KW])</f>
        <v>24</v>
      </c>
      <c r="D16" s="199">
        <f>SUBTOTAL(109,Tabel9[Floret GW])</f>
        <v>33</v>
      </c>
      <c r="E16" s="199">
        <f>SUBTOTAL(109,Tabel9[Sabel KW])</f>
        <v>8</v>
      </c>
      <c r="F16" s="199">
        <f>SUBTOTAL(109,Tabel9[Sabel GW])</f>
        <v>11</v>
      </c>
      <c r="G16" s="199">
        <f>SUBTOTAL(109,Tabel9[Degen KW])</f>
        <v>19</v>
      </c>
      <c r="H16" s="199">
        <f>SUBTOTAL(109,Tabel9[Degen GW])</f>
        <v>38</v>
      </c>
      <c r="I16" s="199">
        <f>SUBTOTAL(109,Tabel9[aantal deelnemers])</f>
        <v>133</v>
      </c>
      <c r="J16" s="199">
        <f>SUBTOTAL(109,Tabel9[aantal scheidsrechters])</f>
        <v>32</v>
      </c>
      <c r="K16" s="199"/>
    </row>
  </sheetData>
  <pageMargins left="0.7" right="0.7" top="0.75" bottom="0.75" header="0.51180555555555496" footer="0.51180555555555496"/>
  <pageSetup paperSize="9" firstPageNumber="0"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S252"/>
  <sheetViews>
    <sheetView tabSelected="1" zoomScale="130" zoomScaleNormal="130" workbookViewId="0">
      <pane xSplit="7" ySplit="4" topLeftCell="H106" activePane="bottomRight" state="frozen"/>
      <selection pane="topRight" activeCell="G1" sqref="G1"/>
      <selection pane="bottomLeft" activeCell="A5" sqref="A5"/>
      <selection pane="bottomRight" activeCell="BX1" sqref="BX1"/>
    </sheetView>
  </sheetViews>
  <sheetFormatPr defaultRowHeight="14.4" x14ac:dyDescent="0.3"/>
  <cols>
    <col min="2" max="2" width="10.6640625" style="22" customWidth="1"/>
    <col min="3" max="3" width="10.109375" style="22" customWidth="1"/>
    <col min="4" max="4" width="11.6640625" style="22" hidden="1" customWidth="1"/>
    <col min="5" max="5" width="27.44140625" bestFit="1" customWidth="1"/>
    <col min="6" max="6" width="9.33203125" style="22" customWidth="1"/>
    <col min="7" max="7" width="19.6640625" bestFit="1" customWidth="1"/>
    <col min="8" max="12" width="14.664062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6640625" style="22" bestFit="1" customWidth="1"/>
    <col min="79" max="79" width="14.109375" customWidth="1"/>
    <col min="80" max="80" width="15.6640625" customWidth="1"/>
    <col min="81" max="81" width="14.109375" customWidth="1"/>
    <col min="82" max="91" width="14.109375" hidden="1" customWidth="1"/>
    <col min="92" max="92" width="14.109375" customWidth="1"/>
    <col min="93" max="95" width="10.44140625" style="22" bestFit="1" customWidth="1"/>
    <col min="96" max="97" width="10.44140625" bestFit="1" customWidth="1"/>
  </cols>
  <sheetData>
    <row r="1" spans="1:97" ht="36" customHeight="1" x14ac:dyDescent="0.3">
      <c r="C1" s="143" t="str">
        <f>_xlfn.TEXTJOIN(" ",1,"Aantal schermers:",Tabel2[[#Totals],[aanwezigheid]])</f>
        <v>Aantal schermers: 0</v>
      </c>
      <c r="D1" s="143"/>
      <c r="I1" s="138" t="s">
        <v>32</v>
      </c>
      <c r="K1" s="139" t="s">
        <v>33</v>
      </c>
      <c r="L1" s="139" t="s">
        <v>34</v>
      </c>
      <c r="M1" s="139" t="s">
        <v>35</v>
      </c>
      <c r="BN1">
        <v>1</v>
      </c>
      <c r="CB1" s="169" t="s">
        <v>36</v>
      </c>
      <c r="CC1" s="165"/>
      <c r="CD1" s="165"/>
      <c r="CE1" s="165"/>
      <c r="CF1" s="165"/>
      <c r="CG1" s="165"/>
      <c r="CH1" s="165"/>
      <c r="CI1" s="165"/>
      <c r="CJ1" s="165"/>
      <c r="CK1" s="165"/>
      <c r="CL1" s="165"/>
      <c r="CM1" s="165"/>
      <c r="CN1" s="165"/>
      <c r="CO1" s="167"/>
      <c r="CP1" s="167"/>
      <c r="CQ1" s="167"/>
      <c r="CR1" s="165"/>
      <c r="CS1" s="165"/>
    </row>
    <row r="2" spans="1:97" ht="36" customHeight="1" x14ac:dyDescent="0.3">
      <c r="I2" s="139" t="s">
        <v>37</v>
      </c>
      <c r="K2" s="139" t="s">
        <v>38</v>
      </c>
      <c r="L2" s="139" t="s">
        <v>39</v>
      </c>
      <c r="M2" s="139" t="s">
        <v>40</v>
      </c>
      <c r="Y2" s="212" t="s">
        <v>41</v>
      </c>
      <c r="CB2" s="164" t="s">
        <v>42</v>
      </c>
      <c r="CC2" s="165"/>
      <c r="CD2" s="165"/>
      <c r="CE2" s="165"/>
      <c r="CF2" s="165"/>
      <c r="CG2" s="165"/>
      <c r="CH2" s="165"/>
      <c r="CI2" s="165"/>
      <c r="CJ2" s="165"/>
      <c r="CK2" s="165"/>
      <c r="CL2" s="165"/>
      <c r="CM2" s="165"/>
      <c r="CN2" s="166" t="s">
        <v>43</v>
      </c>
      <c r="CO2" s="164" t="s">
        <v>44</v>
      </c>
      <c r="CP2" s="164" t="s">
        <v>45</v>
      </c>
      <c r="CQ2" s="164" t="s">
        <v>46</v>
      </c>
      <c r="CR2" s="164" t="s">
        <v>47</v>
      </c>
      <c r="CS2" s="164" t="s">
        <v>48</v>
      </c>
    </row>
    <row r="3" spans="1:97" ht="36" customHeight="1" x14ac:dyDescent="0.3">
      <c r="I3" s="139" t="s">
        <v>49</v>
      </c>
      <c r="K3" s="139" t="s">
        <v>50</v>
      </c>
      <c r="L3" s="139" t="s">
        <v>51</v>
      </c>
      <c r="M3" s="140"/>
      <c r="N3" s="140" t="s">
        <v>52</v>
      </c>
      <c r="O3" s="140"/>
      <c r="P3" s="140"/>
      <c r="Q3" s="140"/>
      <c r="R3" s="140"/>
      <c r="S3" s="140"/>
      <c r="T3" s="140" t="s">
        <v>53</v>
      </c>
      <c r="U3" s="140"/>
      <c r="V3" s="140"/>
      <c r="W3" s="140"/>
      <c r="X3" s="140"/>
      <c r="Y3" s="140"/>
      <c r="Z3" s="140" t="s">
        <v>54</v>
      </c>
      <c r="AA3" s="140"/>
      <c r="AB3" s="140"/>
      <c r="AC3" s="140"/>
      <c r="AD3" s="140"/>
      <c r="AE3" s="140"/>
      <c r="AF3" s="140" t="s">
        <v>55</v>
      </c>
      <c r="AG3" s="140"/>
      <c r="AH3" s="140"/>
      <c r="AI3" s="140"/>
      <c r="AJ3" s="140"/>
      <c r="AK3" s="140"/>
      <c r="AL3" s="140" t="s">
        <v>56</v>
      </c>
      <c r="AM3" s="140"/>
      <c r="AN3" s="140"/>
      <c r="AO3" s="140"/>
      <c r="AP3" s="140"/>
      <c r="AQ3" s="140"/>
      <c r="AR3" s="140" t="s">
        <v>57</v>
      </c>
      <c r="AS3" s="140"/>
      <c r="AT3" s="140"/>
      <c r="AU3" s="140"/>
      <c r="AV3" s="140"/>
      <c r="AW3" s="140"/>
      <c r="AX3" s="140" t="s">
        <v>58</v>
      </c>
      <c r="AY3" s="140"/>
      <c r="AZ3" s="140"/>
      <c r="BA3" s="140"/>
      <c r="BB3" s="140"/>
      <c r="BC3" s="140"/>
      <c r="BD3" s="140" t="s">
        <v>59</v>
      </c>
      <c r="BE3" s="140"/>
      <c r="BF3" s="140"/>
      <c r="BG3" s="140"/>
      <c r="BH3" s="140"/>
      <c r="BI3" s="140"/>
      <c r="BJ3" s="140" t="s">
        <v>60</v>
      </c>
      <c r="BK3" s="140"/>
      <c r="BL3" s="140"/>
      <c r="BM3" s="140"/>
      <c r="BN3" s="140"/>
      <c r="BO3" s="140"/>
      <c r="BP3" s="140" t="s">
        <v>61</v>
      </c>
      <c r="BV3" s="152" t="s">
        <v>62</v>
      </c>
      <c r="CB3" s="168">
        <f>Tabel7[[#Totals],[punten seizoen]]</f>
        <v>0</v>
      </c>
      <c r="CC3" s="165"/>
      <c r="CD3" s="165"/>
      <c r="CE3" s="165"/>
      <c r="CF3" s="165"/>
      <c r="CG3" s="165"/>
      <c r="CH3" s="165"/>
      <c r="CI3" s="165"/>
      <c r="CJ3" s="165"/>
      <c r="CK3" s="165"/>
      <c r="CL3" s="165"/>
      <c r="CM3" s="165"/>
      <c r="CN3" s="168">
        <f>Tabel7[[#Totals],[deelname]]</f>
        <v>0</v>
      </c>
      <c r="CO3" s="168">
        <f>Tabel7[[#Totals],[1000]]</f>
        <v>5</v>
      </c>
      <c r="CP3" s="168">
        <f>Tabel7[[#Totals],[1500]]</f>
        <v>2</v>
      </c>
      <c r="CQ3" s="168">
        <f>Tabel7[[#Totals],[2000]]</f>
        <v>1</v>
      </c>
      <c r="CR3" s="168">
        <f>Tabel7[[#Totals],[2500]]</f>
        <v>5</v>
      </c>
      <c r="CS3" s="168">
        <f>Tabel7[[#Totals],[3000]]</f>
        <v>3</v>
      </c>
    </row>
    <row r="4" spans="1:97" x14ac:dyDescent="0.3">
      <c r="A4" t="s">
        <v>63</v>
      </c>
      <c r="B4" s="22" t="s">
        <v>11</v>
      </c>
      <c r="C4" s="22" t="s">
        <v>64</v>
      </c>
      <c r="D4" s="22" t="s">
        <v>65</v>
      </c>
      <c r="E4" t="s">
        <v>66</v>
      </c>
      <c r="F4" s="22" t="s">
        <v>67</v>
      </c>
      <c r="G4" t="s">
        <v>68</v>
      </c>
      <c r="H4" t="s">
        <v>69</v>
      </c>
      <c r="I4" t="s">
        <v>70</v>
      </c>
      <c r="J4" t="s">
        <v>71</v>
      </c>
      <c r="K4" t="s">
        <v>72</v>
      </c>
      <c r="L4" t="s">
        <v>73</v>
      </c>
      <c r="M4" t="s">
        <v>74</v>
      </c>
      <c r="N4" t="s">
        <v>75</v>
      </c>
      <c r="O4" t="s">
        <v>76</v>
      </c>
      <c r="P4" t="s">
        <v>77</v>
      </c>
      <c r="Q4" t="s">
        <v>78</v>
      </c>
      <c r="R4" t="s">
        <v>79</v>
      </c>
      <c r="S4" t="s">
        <v>80</v>
      </c>
      <c r="T4" t="s">
        <v>81</v>
      </c>
      <c r="U4" t="s">
        <v>82</v>
      </c>
      <c r="V4" t="s">
        <v>83</v>
      </c>
      <c r="W4" t="s">
        <v>84</v>
      </c>
      <c r="X4" t="s">
        <v>85</v>
      </c>
      <c r="Y4" t="s">
        <v>86</v>
      </c>
      <c r="Z4" t="s">
        <v>87</v>
      </c>
      <c r="AA4" t="s">
        <v>88</v>
      </c>
      <c r="AB4" t="s">
        <v>89</v>
      </c>
      <c r="AC4" t="s">
        <v>90</v>
      </c>
      <c r="AD4" t="s">
        <v>91</v>
      </c>
      <c r="AE4" t="s">
        <v>92</v>
      </c>
      <c r="AF4" t="s">
        <v>93</v>
      </c>
      <c r="AG4" t="s">
        <v>94</v>
      </c>
      <c r="AH4" t="s">
        <v>95</v>
      </c>
      <c r="AI4" t="s">
        <v>96</v>
      </c>
      <c r="AJ4" t="s">
        <v>97</v>
      </c>
      <c r="AK4" t="s">
        <v>98</v>
      </c>
      <c r="AL4" t="s">
        <v>99</v>
      </c>
      <c r="AM4" t="s">
        <v>100</v>
      </c>
      <c r="AN4" t="s">
        <v>101</v>
      </c>
      <c r="AO4" t="s">
        <v>102</v>
      </c>
      <c r="AP4" t="s">
        <v>103</v>
      </c>
      <c r="AQ4" t="s">
        <v>104</v>
      </c>
      <c r="AR4" t="s">
        <v>105</v>
      </c>
      <c r="AS4" t="s">
        <v>106</v>
      </c>
      <c r="AT4" t="s">
        <v>107</v>
      </c>
      <c r="AU4" t="s">
        <v>108</v>
      </c>
      <c r="AV4" t="s">
        <v>109</v>
      </c>
      <c r="AW4" s="148" t="s">
        <v>110</v>
      </c>
      <c r="AX4" t="s">
        <v>111</v>
      </c>
      <c r="AY4" t="s">
        <v>112</v>
      </c>
      <c r="AZ4" t="s">
        <v>113</v>
      </c>
      <c r="BA4" t="s">
        <v>114</v>
      </c>
      <c r="BB4" t="s">
        <v>115</v>
      </c>
      <c r="BC4" t="s">
        <v>116</v>
      </c>
      <c r="BD4" t="s">
        <v>117</v>
      </c>
      <c r="BE4" t="s">
        <v>118</v>
      </c>
      <c r="BF4" t="s">
        <v>119</v>
      </c>
      <c r="BG4" t="s">
        <v>120</v>
      </c>
      <c r="BH4" t="s">
        <v>121</v>
      </c>
      <c r="BI4" t="s">
        <v>122</v>
      </c>
      <c r="BJ4" t="s">
        <v>123</v>
      </c>
      <c r="BK4" t="s">
        <v>124</v>
      </c>
      <c r="BL4" t="s">
        <v>125</v>
      </c>
      <c r="BM4" t="s">
        <v>126</v>
      </c>
      <c r="BN4" t="s">
        <v>127</v>
      </c>
      <c r="BO4" t="s">
        <v>128</v>
      </c>
      <c r="BP4" t="s">
        <v>129</v>
      </c>
      <c r="BQ4" t="s">
        <v>130</v>
      </c>
      <c r="BR4" t="s">
        <v>131</v>
      </c>
      <c r="BS4" t="s">
        <v>132</v>
      </c>
      <c r="BT4" t="s">
        <v>133</v>
      </c>
      <c r="BU4" t="s">
        <v>134</v>
      </c>
      <c r="BV4" s="22" t="s">
        <v>135</v>
      </c>
      <c r="BW4" s="22" t="s">
        <v>136</v>
      </c>
      <c r="BX4" s="22" t="s">
        <v>137</v>
      </c>
      <c r="BY4" s="22" t="s">
        <v>138</v>
      </c>
      <c r="CA4" t="s">
        <v>139</v>
      </c>
      <c r="CB4" t="s">
        <v>140</v>
      </c>
      <c r="CC4" t="s">
        <v>141</v>
      </c>
      <c r="CD4" t="s">
        <v>12</v>
      </c>
      <c r="CE4" t="s">
        <v>15</v>
      </c>
      <c r="CF4" t="s">
        <v>17</v>
      </c>
      <c r="CG4" t="s">
        <v>19</v>
      </c>
      <c r="CH4" t="s">
        <v>21</v>
      </c>
      <c r="CI4" t="s">
        <v>23</v>
      </c>
      <c r="CJ4" t="s">
        <v>25</v>
      </c>
      <c r="CK4" t="s">
        <v>27</v>
      </c>
      <c r="CL4" t="s">
        <v>28</v>
      </c>
      <c r="CM4" t="s">
        <v>29</v>
      </c>
      <c r="CN4" t="s">
        <v>142</v>
      </c>
      <c r="CO4" s="22" t="s">
        <v>143</v>
      </c>
      <c r="CP4" s="22" t="s">
        <v>144</v>
      </c>
      <c r="CQ4" s="22" t="s">
        <v>145</v>
      </c>
      <c r="CR4" s="22" t="s">
        <v>146</v>
      </c>
      <c r="CS4" s="22" t="s">
        <v>147</v>
      </c>
    </row>
    <row r="5" spans="1:97" x14ac:dyDescent="0.3">
      <c r="A5" s="22" t="s">
        <v>148</v>
      </c>
      <c r="B5" s="22" t="s">
        <v>149</v>
      </c>
      <c r="D5" s="22" t="s">
        <v>150</v>
      </c>
      <c r="E5" t="s">
        <v>151</v>
      </c>
      <c r="F5" s="22">
        <v>116326</v>
      </c>
      <c r="G5" s="25" t="s">
        <v>152</v>
      </c>
      <c r="H5" s="142">
        <f>Tabel2[[#This Row],[pnt t/m 2021/22]]+Tabel2[[#This Row],[pnt 2022/2023]]</f>
        <v>3009.4761904761904</v>
      </c>
      <c r="I5">
        <v>2008</v>
      </c>
      <c r="J5">
        <v>2023</v>
      </c>
      <c r="K5" s="24">
        <f>Tabel2[[#This Row],[ijkdatum]]-Tabel2[[#This Row],[Geboren]]</f>
        <v>15</v>
      </c>
      <c r="L5" s="26">
        <f>Tabel2[[#This Row],[TTL 1]]+Tabel2[[#This Row],[TTL 2]]+Tabel2[[#This Row],[TTL 3]]+Tabel2[[#This Row],[TTL 4]]+Tabel2[[#This Row],[TTL 5]]+Tabel2[[#This Row],[TTL 6]]+Tabel2[[#This Row],[TTL 7]]+Tabel2[[#This Row],[TTL 8]]+Tabel2[[#This Row],[TTL 9]]+Tabel2[[#This Row],[TTL 10]]</f>
        <v>173.22222222222223</v>
      </c>
      <c r="M5" s="157">
        <v>2836.2539682539682</v>
      </c>
      <c r="N5">
        <v>1</v>
      </c>
      <c r="O5">
        <v>10</v>
      </c>
      <c r="P5">
        <v>3</v>
      </c>
      <c r="Q5">
        <v>31</v>
      </c>
      <c r="S5" s="23">
        <f>SUM(Tabel2[[#This Row],[V 1]]*10+Tabel2[[#This Row],[GT 1]])/Tabel2[[#This Row],[AW 1]]*10+Tabel2[[#This Row],[BONUS 1]]</f>
        <v>61</v>
      </c>
      <c r="U5">
        <v>1</v>
      </c>
      <c r="Y5" s="23">
        <f>SUM(Tabel2[[#This Row],[V 2]]*10+Tabel2[[#This Row],[GT 2]])/Tabel2[[#This Row],[AW 2]]*10+Tabel2[[#This Row],[BONUS 2]]</f>
        <v>0</v>
      </c>
      <c r="Z5">
        <v>1</v>
      </c>
      <c r="AA5">
        <v>9</v>
      </c>
      <c r="AB5">
        <v>6</v>
      </c>
      <c r="AC5">
        <v>41</v>
      </c>
      <c r="AE5" s="23">
        <f>SUM(Tabel2[[#This Row],[V 3]]*10+Tabel2[[#This Row],[GT 3]])/Tabel2[[#This Row],[AW 3]]*10+Tabel2[[#This Row],[BONUS 3]]</f>
        <v>112.22222222222221</v>
      </c>
      <c r="AG5">
        <v>1</v>
      </c>
      <c r="AK5" s="23">
        <f>SUM(Tabel2[[#This Row],[V 4]]*10+Tabel2[[#This Row],[GT 4]])/Tabel2[[#This Row],[AW 4]]*10+Tabel2[[#This Row],[BONUS 4]]</f>
        <v>0</v>
      </c>
      <c r="AM5">
        <v>1</v>
      </c>
      <c r="AQ5" s="23">
        <f>SUM(Tabel2[[#This Row],[V 5]]*10+Tabel2[[#This Row],[GT 5]])/Tabel2[[#This Row],[AW 5]]*10+Tabel2[[#This Row],[BONUS 5]]</f>
        <v>0</v>
      </c>
      <c r="AS5">
        <v>1</v>
      </c>
      <c r="AW5" s="23">
        <f>SUM(Tabel2[[#This Row],[V 6]]*10+Tabel2[[#This Row],[GT 6]])/Tabel2[[#This Row],[AW 6]]*10+Tabel2[[#This Row],[BONUS 6]]</f>
        <v>0</v>
      </c>
      <c r="AY5">
        <v>1</v>
      </c>
      <c r="BC5" s="23">
        <f>SUM(Tabel2[[#This Row],[V 7]]*10+Tabel2[[#This Row],[GT 7]])/Tabel2[[#This Row],[AW 7]]*10+Tabel2[[#This Row],[BONUS 7]]</f>
        <v>0</v>
      </c>
      <c r="BE5">
        <v>1</v>
      </c>
      <c r="BI5" s="23">
        <f>SUM(Tabel2[[#This Row],[V 8]]*10+Tabel2[[#This Row],[GT 8]])/Tabel2[[#This Row],[AW 8]]*10+Tabel2[[#This Row],[BONUS 8]]</f>
        <v>0</v>
      </c>
      <c r="BK5">
        <v>1</v>
      </c>
      <c r="BO5" s="23">
        <f>SUM(Tabel2[[#This Row],[V 9]]*10+Tabel2[[#This Row],[GT 9]])/Tabel2[[#This Row],[AW 9]]*10+Tabel2[[#This Row],[BONUS 9]]</f>
        <v>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5" s="22">
        <v>2500</v>
      </c>
      <c r="BX5" s="30">
        <f>Tabel2[[#This Row],[Diploma]]-Tabel2[[#This Row],[Uitgeschreven]]</f>
        <v>500</v>
      </c>
      <c r="BY5" s="2" t="str">
        <f t="shared" ref="BY5:BY36" si="0">IF(BX5=0,"geen actie",CONCATENATE("diploma uitschrijven: ",BV5," punten"))</f>
        <v>diploma uitschrijven: 3000 punten</v>
      </c>
      <c r="CA5" s="150">
        <f>Tabel2[[#This Row],[pnt t/m 2021/22]]</f>
        <v>2836.2539682539682</v>
      </c>
      <c r="CB5" s="150">
        <f>Tabel2[[#This Row],[pnt 2022/2023]]</f>
        <v>173.22222222222223</v>
      </c>
      <c r="CC5" s="150">
        <f>CA5+CB5</f>
        <v>3009.4761904761904</v>
      </c>
      <c r="CD5" s="150">
        <f>IF(Tabel2[[#This Row],[LPR 1]]&gt;0,1,0)</f>
        <v>1</v>
      </c>
      <c r="CE5" s="150">
        <f>IF(Tabel2[[#This Row],[LPR 2]]&gt;0,1,0)</f>
        <v>0</v>
      </c>
      <c r="CF5" s="150">
        <f>IF(Tabel2[[#This Row],[LPR 3]]&gt;0,1,0)</f>
        <v>1</v>
      </c>
      <c r="CG5" s="150">
        <f>IF(Tabel2[[#This Row],[LPR 4]]&gt;0,1,0)</f>
        <v>0</v>
      </c>
      <c r="CH5" s="150">
        <f>IF(Tabel2[[#This Row],[LPR 5]]&gt;0,1,0)</f>
        <v>0</v>
      </c>
      <c r="CI5" s="150">
        <f>IF(Tabel2[[#This Row],[LPR 6]]&gt;0,1,0)</f>
        <v>0</v>
      </c>
      <c r="CJ5" s="150">
        <f>IF(Tabel2[[#This Row],[LPR 7]]&gt;0,1,0)</f>
        <v>0</v>
      </c>
      <c r="CK5" s="150">
        <f>IF(Tabel2[[#This Row],[LPR 8]]&gt;0,1,0)</f>
        <v>0</v>
      </c>
      <c r="CL5" s="150">
        <f>IF(Tabel2[[#This Row],[LPR 9]]&gt;0,1,0)</f>
        <v>0</v>
      </c>
      <c r="CM5" s="150">
        <f>IF(Tabel2[[#This Row],[LPR 10]]&gt;0,1,0)</f>
        <v>0</v>
      </c>
      <c r="CN5" s="150">
        <f>SUM(Tabel7[[#This Row],[sep]:[jun]])</f>
        <v>2</v>
      </c>
      <c r="CO5" s="22" t="str">
        <f>IF(AND($CA5&lt;1000,$CC5&gt;1000),"x","")</f>
        <v/>
      </c>
      <c r="CP5" s="22" t="str">
        <f>IF(AND($CA5&lt;1500,$CC5&gt;1500),"x","")</f>
        <v/>
      </c>
      <c r="CQ5" s="22" t="str">
        <f>IF(AND($CA5&lt;2000,$CC5&gt;2000),"x","")</f>
        <v/>
      </c>
      <c r="CR5" s="22" t="str">
        <f>IF(AND($CA5&lt;2500,$CC5&gt;2500),"x","")</f>
        <v/>
      </c>
      <c r="CS5" s="22" t="str">
        <f>IF(AND($CA5&lt;3000,$CC5&gt;3000),"x","")</f>
        <v>x</v>
      </c>
    </row>
    <row r="6" spans="1:97" ht="15.6" x14ac:dyDescent="0.3">
      <c r="A6" s="22" t="s">
        <v>153</v>
      </c>
      <c r="B6" s="22" t="s">
        <v>149</v>
      </c>
      <c r="D6" s="22" t="s">
        <v>150</v>
      </c>
      <c r="E6" s="149" t="s">
        <v>154</v>
      </c>
      <c r="F6" s="22">
        <v>120288</v>
      </c>
      <c r="G6" s="25" t="s">
        <v>155</v>
      </c>
      <c r="H6" s="142">
        <f>Tabel2[[#This Row],[pnt t/m 2021/22]]+Tabel2[[#This Row],[pnt 2022/2023]]</f>
        <v>905.165750915751</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363.53571428571428</v>
      </c>
      <c r="M6" s="141">
        <v>541.63003663003667</v>
      </c>
      <c r="N6">
        <v>6</v>
      </c>
      <c r="O6">
        <v>8</v>
      </c>
      <c r="P6">
        <v>2</v>
      </c>
      <c r="Q6">
        <v>29</v>
      </c>
      <c r="R6">
        <v>100</v>
      </c>
      <c r="S6" s="23">
        <f>SUM(Tabel2[[#This Row],[V 1]]*10+Tabel2[[#This Row],[GT 1]])/Tabel2[[#This Row],[AW 1]]*10+Tabel2[[#This Row],[BONUS 1]]</f>
        <v>161.25</v>
      </c>
      <c r="T6">
        <v>7</v>
      </c>
      <c r="U6">
        <v>7</v>
      </c>
      <c r="V6">
        <v>3</v>
      </c>
      <c r="W6">
        <v>22</v>
      </c>
      <c r="Y6" s="23">
        <f>SUM(Tabel2[[#This Row],[V 2]]*10+Tabel2[[#This Row],[GT 2]])/Tabel2[[#This Row],[AW 2]]*10+Tabel2[[#This Row],[BONUS 2]]</f>
        <v>74.285714285714292</v>
      </c>
      <c r="Z6">
        <v>8</v>
      </c>
      <c r="AA6">
        <v>5</v>
      </c>
      <c r="AB6">
        <v>4</v>
      </c>
      <c r="AC6">
        <v>24</v>
      </c>
      <c r="AE6" s="23">
        <f>SUM(Tabel2[[#This Row],[V 3]]*10+Tabel2[[#This Row],[GT 3]])/Tabel2[[#This Row],[AW 3]]*10+Tabel2[[#This Row],[BONUS 3]]</f>
        <v>128</v>
      </c>
      <c r="AG6">
        <v>1</v>
      </c>
      <c r="AK6" s="23">
        <f>SUM(Tabel2[[#This Row],[V 4]]*10+Tabel2[[#This Row],[GT 4]])/Tabel2[[#This Row],[AW 4]]*10+Tabel2[[#This Row],[BONUS 4]]</f>
        <v>0</v>
      </c>
      <c r="AM6">
        <v>1</v>
      </c>
      <c r="AQ6" s="23">
        <f>SUM(Tabel2[[#This Row],[V 5]]*10+Tabel2[[#This Row],[GT 5]])/Tabel2[[#This Row],[AW 5]]*10+Tabel2[[#This Row],[BONUS 5]]</f>
        <v>0</v>
      </c>
      <c r="AS6">
        <v>1</v>
      </c>
      <c r="AW6" s="23">
        <f>SUM(Tabel2[[#This Row],[V 6]]*10+Tabel2[[#This Row],[GT 6]])/Tabel2[[#This Row],[AW 6]]*10+Tabel2[[#This Row],[BONUS 6]]</f>
        <v>0</v>
      </c>
      <c r="AY6">
        <v>1</v>
      </c>
      <c r="BC6" s="23">
        <f>SUM(Tabel2[[#This Row],[V 7]]*10+Tabel2[[#This Row],[GT 7]])/Tabel2[[#This Row],[AW 7]]*10+Tabel2[[#This Row],[BONUS 7]]</f>
        <v>0</v>
      </c>
      <c r="BE6">
        <v>1</v>
      </c>
      <c r="BI6" s="23">
        <f>SUM(Tabel2[[#This Row],[V 8]]*10+Tabel2[[#This Row],[GT 8]])/Tabel2[[#This Row],[AW 8]]*10+Tabel2[[#This Row],[BONUS 8]]</f>
        <v>0</v>
      </c>
      <c r="BK6">
        <v>1</v>
      </c>
      <c r="BO6" s="23">
        <f>SUM(Tabel2[[#This Row],[V 9]]*10+Tabel2[[#This Row],[GT 9]])/Tabel2[[#This Row],[AW 9]]*10+Tabel2[[#This Row],[BONUS 9]]</f>
        <v>0</v>
      </c>
      <c r="BQ6">
        <v>1</v>
      </c>
      <c r="BU6" s="23">
        <f>SUM(Tabel2[[#This Row],[V 10]]*10+Tabel2[[#This Row],[GT 10]])/Tabel2[[#This Row],[AW 10]]*10+Tabel2[[#This Row],[BONUS 10]]</f>
        <v>0</v>
      </c>
      <c r="BV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 s="22">
        <v>750</v>
      </c>
      <c r="BX6" s="30">
        <f>Tabel2[[#This Row],[Diploma]]-Tabel2[[#This Row],[Uitgeschreven]]</f>
        <v>0</v>
      </c>
      <c r="BY6" s="2" t="str">
        <f t="shared" si="0"/>
        <v>geen actie</v>
      </c>
      <c r="CA6" s="150">
        <f>Tabel2[[#This Row],[pnt t/m 2021/22]]</f>
        <v>541.63003663003667</v>
      </c>
      <c r="CB6" s="150">
        <f>Tabel2[[#This Row],[pnt 2022/2023]]</f>
        <v>363.53571428571428</v>
      </c>
      <c r="CC6" s="150">
        <f>CA6+CB6</f>
        <v>905.165750915751</v>
      </c>
      <c r="CD6" s="150">
        <f>IF(Tabel2[[#This Row],[LPR 1]]&gt;0,1,0)</f>
        <v>1</v>
      </c>
      <c r="CE6" s="150">
        <f>IF(Tabel2[[#This Row],[LPR 2]]&gt;0,1,0)</f>
        <v>1</v>
      </c>
      <c r="CF6" s="150">
        <f>IF(Tabel2[[#This Row],[LPR 3]]&gt;0,1,0)</f>
        <v>1</v>
      </c>
      <c r="CG6" s="150">
        <f>IF(Tabel2[[#This Row],[LPR 4]]&gt;0,1,0)</f>
        <v>0</v>
      </c>
      <c r="CH6" s="150">
        <f>IF(Tabel2[[#This Row],[LPR 5]]&gt;0,1,0)</f>
        <v>0</v>
      </c>
      <c r="CI6" s="150">
        <f>IF(Tabel2[[#This Row],[LPR 6]]&gt;0,1,0)</f>
        <v>0</v>
      </c>
      <c r="CJ6" s="150">
        <f>IF(Tabel2[[#This Row],[LPR 7]]&gt;0,1,0)</f>
        <v>0</v>
      </c>
      <c r="CK6" s="150">
        <f>IF(Tabel2[[#This Row],[LPR 8]]&gt;0,1,0)</f>
        <v>0</v>
      </c>
      <c r="CL6" s="150">
        <f>IF(Tabel2[[#This Row],[LPR 9]]&gt;0,1,0)</f>
        <v>0</v>
      </c>
      <c r="CM6" s="150">
        <f>IF(Tabel2[[#This Row],[LPR 10]]&gt;0,1,0)</f>
        <v>0</v>
      </c>
      <c r="CN6" s="150">
        <f>SUM(Tabel7[[#This Row],[sep]:[jun]])</f>
        <v>3</v>
      </c>
      <c r="CO6" s="22" t="str">
        <f t="shared" ref="CO6:CO69" si="1">IF(AND($CA6&lt;1000,$CC6&gt;1000),"x","")</f>
        <v/>
      </c>
      <c r="CP6" s="22" t="str">
        <f t="shared" ref="CP6:CP69" si="2">IF(AND($CA6&lt;1500,$CC6&gt;1500),"x","")</f>
        <v/>
      </c>
      <c r="CQ6" s="22" t="str">
        <f t="shared" ref="CQ6:CQ69" si="3">IF(AND($CA6&lt;2000,$CC6&gt;2000),"x","")</f>
        <v/>
      </c>
      <c r="CR6" s="22" t="str">
        <f t="shared" ref="CR6:CR69" si="4">IF(AND($CA6&lt;2500,$CC6&gt;2500),"x","")</f>
        <v/>
      </c>
      <c r="CS6" s="22" t="str">
        <f t="shared" ref="CS6:CS69" si="5">IF(AND($CA6&lt;3000,$CC6&gt;3000),"x","")</f>
        <v/>
      </c>
    </row>
    <row r="7" spans="1:97" x14ac:dyDescent="0.3">
      <c r="A7" s="22" t="s">
        <v>156</v>
      </c>
      <c r="B7" s="22" t="s">
        <v>157</v>
      </c>
      <c r="D7" s="22" t="s">
        <v>150</v>
      </c>
      <c r="E7" t="s">
        <v>158</v>
      </c>
      <c r="F7" s="22">
        <v>120284</v>
      </c>
      <c r="G7" s="25" t="s">
        <v>155</v>
      </c>
      <c r="H7" s="142">
        <f>Tabel2[[#This Row],[pnt t/m 2021/22]]+Tabel2[[#This Row],[pnt 2022/2023]]</f>
        <v>326.59451659451656</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138.18181818181819</v>
      </c>
      <c r="M7" s="141">
        <v>188.4126984126984</v>
      </c>
      <c r="O7">
        <v>1</v>
      </c>
      <c r="S7" s="23">
        <f>SUM(Tabel2[[#This Row],[V 1]]*10+Tabel2[[#This Row],[GT 1]])/Tabel2[[#This Row],[AW 1]]*10+Tabel2[[#This Row],[BONUS 1]]</f>
        <v>0</v>
      </c>
      <c r="T7">
        <v>5</v>
      </c>
      <c r="U7">
        <v>11</v>
      </c>
      <c r="V7">
        <v>10</v>
      </c>
      <c r="W7">
        <v>52</v>
      </c>
      <c r="Y7" s="23">
        <f>SUM(Tabel2[[#This Row],[V 2]]*10+Tabel2[[#This Row],[GT 2]])/Tabel2[[#This Row],[AW 2]]*10+Tabel2[[#This Row],[BONUS 2]]</f>
        <v>138.18181818181819</v>
      </c>
      <c r="AA7">
        <v>1</v>
      </c>
      <c r="AE7" s="23">
        <f>SUM(Tabel2[[#This Row],[V 3]]*10+Tabel2[[#This Row],[GT 3]])/Tabel2[[#This Row],[AW 3]]*10+Tabel2[[#This Row],[BONUS 3]]</f>
        <v>0</v>
      </c>
      <c r="AG7">
        <v>1</v>
      </c>
      <c r="AK7" s="23">
        <f>SUM(Tabel2[[#This Row],[V 4]]*10+Tabel2[[#This Row],[GT 4]])/Tabel2[[#This Row],[AW 4]]*10+Tabel2[[#This Row],[BONUS 4]]</f>
        <v>0</v>
      </c>
      <c r="AM7">
        <v>1</v>
      </c>
      <c r="AQ7" s="23">
        <f>SUM(Tabel2[[#This Row],[V 5]]*10+Tabel2[[#This Row],[GT 5]])/Tabel2[[#This Row],[AW 5]]*10+Tabel2[[#This Row],[BONUS 5]]</f>
        <v>0</v>
      </c>
      <c r="AS7">
        <v>1</v>
      </c>
      <c r="AW7" s="23">
        <f>SUM(Tabel2[[#This Row],[V 6]]*10+Tabel2[[#This Row],[GT 6]])/Tabel2[[#This Row],[AW 6]]*10+Tabel2[[#This Row],[BONUS 6]]</f>
        <v>0</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 s="22">
        <v>250</v>
      </c>
      <c r="BX7" s="30">
        <f>Tabel2[[#This Row],[Diploma]]-Tabel2[[#This Row],[Uitgeschreven]]</f>
        <v>0</v>
      </c>
      <c r="BY7" s="2" t="str">
        <f t="shared" si="0"/>
        <v>geen actie</v>
      </c>
      <c r="CA7" s="150">
        <f>Tabel2[[#This Row],[pnt t/m 2021/22]]</f>
        <v>188.4126984126984</v>
      </c>
      <c r="CB7" s="150">
        <f>Tabel2[[#This Row],[pnt 2022/2023]]</f>
        <v>138.18181818181819</v>
      </c>
      <c r="CC7" s="150">
        <f t="shared" ref="CC7:CC70" si="6">CA7+CB7</f>
        <v>326.59451659451656</v>
      </c>
      <c r="CD7" s="150">
        <f>IF(Tabel2[[#This Row],[LPR 1]]&gt;0,1,0)</f>
        <v>0</v>
      </c>
      <c r="CE7" s="150">
        <f>IF(Tabel2[[#This Row],[LPR 2]]&gt;0,1,0)</f>
        <v>1</v>
      </c>
      <c r="CF7" s="150">
        <f>IF(Tabel2[[#This Row],[LPR 3]]&gt;0,1,0)</f>
        <v>0</v>
      </c>
      <c r="CG7" s="150">
        <f>IF(Tabel2[[#This Row],[LPR 4]]&gt;0,1,0)</f>
        <v>0</v>
      </c>
      <c r="CH7" s="150">
        <f>IF(Tabel2[[#This Row],[LPR 5]]&gt;0,1,0)</f>
        <v>0</v>
      </c>
      <c r="CI7" s="150">
        <f>IF(Tabel2[[#This Row],[LPR 6]]&gt;0,1,0)</f>
        <v>0</v>
      </c>
      <c r="CJ7" s="150">
        <f>IF(Tabel2[[#This Row],[LPR 7]]&gt;0,1,0)</f>
        <v>0</v>
      </c>
      <c r="CK7" s="150">
        <f>IF(Tabel2[[#This Row],[LPR 8]]&gt;0,1,0)</f>
        <v>0</v>
      </c>
      <c r="CL7" s="150">
        <f>IF(Tabel2[[#This Row],[LPR 9]]&gt;0,1,0)</f>
        <v>0</v>
      </c>
      <c r="CM7" s="150">
        <f>IF(Tabel2[[#This Row],[LPR 10]]&gt;0,1,0)</f>
        <v>0</v>
      </c>
      <c r="CN7" s="150">
        <f>SUM(Tabel7[[#This Row],[sep]:[jun]])</f>
        <v>1</v>
      </c>
      <c r="CO7" s="22" t="str">
        <f t="shared" si="1"/>
        <v/>
      </c>
      <c r="CP7" s="22" t="str">
        <f t="shared" si="2"/>
        <v/>
      </c>
      <c r="CQ7" s="22" t="str">
        <f t="shared" si="3"/>
        <v/>
      </c>
      <c r="CR7" s="22" t="str">
        <f t="shared" si="4"/>
        <v/>
      </c>
      <c r="CS7" s="22" t="str">
        <f t="shared" si="5"/>
        <v/>
      </c>
    </row>
    <row r="8" spans="1:97" x14ac:dyDescent="0.3">
      <c r="A8" s="22" t="s">
        <v>159</v>
      </c>
      <c r="B8" s="22" t="s">
        <v>149</v>
      </c>
      <c r="D8" s="22" t="s">
        <v>160</v>
      </c>
      <c r="E8" t="s">
        <v>161</v>
      </c>
      <c r="F8" s="22">
        <v>116674</v>
      </c>
      <c r="G8" s="25" t="s">
        <v>162</v>
      </c>
      <c r="H8" s="142">
        <f>Tabel2[[#This Row],[pnt t/m 2021/22]]+Tabel2[[#This Row],[pnt 2022/2023]]</f>
        <v>630.16666666666663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130</v>
      </c>
      <c r="M8" s="141">
        <v>500.16666666666663</v>
      </c>
      <c r="O8">
        <v>1</v>
      </c>
      <c r="S8" s="23">
        <f>SUM(Tabel2[[#This Row],[V 1]]*10+Tabel2[[#This Row],[GT 1]])/Tabel2[[#This Row],[AW 1]]*10+Tabel2[[#This Row],[BONUS 1]]</f>
        <v>0</v>
      </c>
      <c r="T8">
        <v>7</v>
      </c>
      <c r="U8">
        <v>12</v>
      </c>
      <c r="V8">
        <v>10</v>
      </c>
      <c r="W8">
        <v>112</v>
      </c>
      <c r="Y8" s="23">
        <f>SUM(Tabel2[[#This Row],[V 2]]*10+(Tabel2[[#This Row],[GT 2]]/2))/Tabel2[[#This Row],[AW 2]]*10+Tabel2[[#This Row],[BONUS 2]]</f>
        <v>130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Y8">
        <v>1</v>
      </c>
      <c r="BC8" s="23">
        <f>SUM(Tabel2[[#This Row],[V 7]]*10+Tabel2[[#This Row],[GT 7]])/Tabel2[[#This Row],[AW 7]]*10+Tabel2[[#This Row],[BONUS 7]]</f>
        <v>0</v>
      </c>
      <c r="BE8">
        <v>1</v>
      </c>
      <c r="BI8" s="23">
        <f>SUM(Tabel2[[#This Row],[V 8]]*10+Tabel2[[#This Row],[GT 8]])/Tabel2[[#This Row],[AW 8]]*10+Tabel2[[#This Row],[BONUS 8]]</f>
        <v>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500</v>
      </c>
      <c r="BX8" s="30">
        <f>Tabel2[[#This Row],[Diploma]]-Tabel2[[#This Row],[Uitgeschreven]]</f>
        <v>0</v>
      </c>
      <c r="BY8" s="2" t="str">
        <f t="shared" si="0"/>
        <v>geen actie</v>
      </c>
      <c r="CA8" s="150">
        <f>Tabel2[[#This Row],[pnt t/m 2021/22]]</f>
        <v>500.16666666666663</v>
      </c>
      <c r="CB8" s="150">
        <f>Tabel2[[#This Row],[pnt 2022/2023]]</f>
        <v>130</v>
      </c>
      <c r="CC8" s="150">
        <f t="shared" si="6"/>
        <v>630.16666666666663</v>
      </c>
      <c r="CD8" s="150">
        <f>IF(Tabel2[[#This Row],[LPR 1]]&gt;0,1,0)</f>
        <v>0</v>
      </c>
      <c r="CE8" s="150">
        <f>IF(Tabel2[[#This Row],[LPR 2]]&gt;0,1,0)</f>
        <v>1</v>
      </c>
      <c r="CF8" s="150">
        <f>IF(Tabel2[[#This Row],[LPR 3]]&gt;0,1,0)</f>
        <v>0</v>
      </c>
      <c r="CG8" s="150">
        <f>IF(Tabel2[[#This Row],[LPR 4]]&gt;0,1,0)</f>
        <v>0</v>
      </c>
      <c r="CH8" s="150">
        <f>IF(Tabel2[[#This Row],[LPR 5]]&gt;0,1,0)</f>
        <v>0</v>
      </c>
      <c r="CI8" s="150">
        <f>IF(Tabel2[[#This Row],[LPR 6]]&gt;0,1,0)</f>
        <v>0</v>
      </c>
      <c r="CJ8" s="150">
        <f>IF(Tabel2[[#This Row],[LPR 7]]&gt;0,1,0)</f>
        <v>0</v>
      </c>
      <c r="CK8" s="150">
        <f>IF(Tabel2[[#This Row],[LPR 8]]&gt;0,1,0)</f>
        <v>0</v>
      </c>
      <c r="CL8" s="150">
        <f>IF(Tabel2[[#This Row],[LPR 9]]&gt;0,1,0)</f>
        <v>0</v>
      </c>
      <c r="CM8" s="150">
        <f>IF(Tabel2[[#This Row],[LPR 10]]&gt;0,1,0)</f>
        <v>0</v>
      </c>
      <c r="CN8" s="150">
        <f>SUM(Tabel7[[#This Row],[sep]:[jun]])</f>
        <v>1</v>
      </c>
      <c r="CO8" s="22" t="str">
        <f t="shared" si="1"/>
        <v/>
      </c>
      <c r="CP8" s="22" t="str">
        <f t="shared" si="2"/>
        <v/>
      </c>
      <c r="CQ8" s="22" t="str">
        <f t="shared" si="3"/>
        <v/>
      </c>
      <c r="CR8" s="22" t="str">
        <f t="shared" si="4"/>
        <v/>
      </c>
      <c r="CS8" s="22" t="str">
        <f t="shared" si="5"/>
        <v/>
      </c>
    </row>
    <row r="9" spans="1:97" x14ac:dyDescent="0.3">
      <c r="A9" s="22" t="s">
        <v>148</v>
      </c>
      <c r="B9" s="22" t="s">
        <v>149</v>
      </c>
      <c r="D9" s="22" t="s">
        <v>163</v>
      </c>
      <c r="E9" t="s">
        <v>164</v>
      </c>
      <c r="F9" s="22">
        <v>120333</v>
      </c>
      <c r="G9" s="25" t="s">
        <v>165</v>
      </c>
      <c r="H9" s="23">
        <f>Tabel2[[#This Row],[pnt t/m 2021/22]]+Tabel2[[#This Row],[pnt 2022/2023]]</f>
        <v>88.75</v>
      </c>
      <c r="I9">
        <v>2008</v>
      </c>
      <c r="J9">
        <v>2022</v>
      </c>
      <c r="K9" s="24">
        <f>Tabel2[[#This Row],[ijkdatum]]-Tabel2[[#This Row],[Geboren]]</f>
        <v>14</v>
      </c>
      <c r="L9" s="26">
        <f>Tabel2[[#This Row],[TTL 1]]+Tabel2[[#This Row],[TTL 2]]+Tabel2[[#This Row],[TTL 3]]+Tabel2[[#This Row],[TTL 4]]+Tabel2[[#This Row],[TTL 5]]+Tabel2[[#This Row],[TTL 6]]+Tabel2[[#This Row],[TTL 7]]+Tabel2[[#This Row],[TTL 8]]+Tabel2[[#This Row],[TTL 9]]+Tabel2[[#This Row],[TTL 10]]</f>
        <v>0</v>
      </c>
      <c r="M9" s="153">
        <v>88.75</v>
      </c>
      <c r="O9">
        <v>1</v>
      </c>
      <c r="S9" s="153">
        <f>SUM(Tabel2[[#This Row],[V 1]]*10+Tabel2[[#This Row],[GT 1]])/Tabel2[[#This Row],[AW 1]]*10+Tabel2[[#This Row],[BONUS 1]]</f>
        <v>0</v>
      </c>
      <c r="U9">
        <v>1</v>
      </c>
      <c r="Y9" s="153">
        <f>SUM(Tabel2[[#This Row],[V 2]]*10+Tabel2[[#This Row],[GT 2]])/Tabel2[[#This Row],[AW 2]]*10+Tabel2[[#This Row],[BONUS 2]]</f>
        <v>0</v>
      </c>
      <c r="AA9">
        <v>1</v>
      </c>
      <c r="AE9" s="153">
        <f>SUM(Tabel2[[#This Row],[V 3]]*10+Tabel2[[#This Row],[GT 3]])/Tabel2[[#This Row],[AW 3]]*10+Tabel2[[#This Row],[BONUS 3]]</f>
        <v>0</v>
      </c>
      <c r="AG9">
        <v>1</v>
      </c>
      <c r="AK9" s="153">
        <f>SUM(Tabel2[[#This Row],[V 4]]*10+Tabel2[[#This Row],[GT 4]])/Tabel2[[#This Row],[AW 4]]*10+Tabel2[[#This Row],[BONUS 4]]</f>
        <v>0</v>
      </c>
      <c r="AM9">
        <v>1</v>
      </c>
      <c r="AQ9" s="153">
        <f>SUM(Tabel2[[#This Row],[V 5]]*10+Tabel2[[#This Row],[GT 5]])/Tabel2[[#This Row],[AW 5]]*10+Tabel2[[#This Row],[BONUS 5]]</f>
        <v>0</v>
      </c>
      <c r="AS9">
        <v>1</v>
      </c>
      <c r="AW9" s="153">
        <f>SUM(Tabel2[[#This Row],[V 6]]*10+Tabel2[[#This Row],[GT 6]])/Tabel2[[#This Row],[AW 6]]*10+Tabel2[[#This Row],[BONUS 6]]</f>
        <v>0</v>
      </c>
      <c r="AY9">
        <v>1</v>
      </c>
      <c r="BC9" s="153">
        <f>SUM(Tabel2[[#This Row],[V 7]]*10+Tabel2[[#This Row],[GT 7]])/Tabel2[[#This Row],[AW 7]]*10+Tabel2[[#This Row],[BONUS 7]]</f>
        <v>0</v>
      </c>
      <c r="BE9">
        <v>1</v>
      </c>
      <c r="BI9" s="153">
        <f>SUM(Tabel2[[#This Row],[V 8]]*10+Tabel2[[#This Row],[GT 8]])/Tabel2[[#This Row],[AW 8]]*10+Tabel2[[#This Row],[BONUS 8]]</f>
        <v>0</v>
      </c>
      <c r="BK9">
        <v>1</v>
      </c>
      <c r="BO9" s="153">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55" t="str">
        <f t="shared" si="0"/>
        <v>geen actie</v>
      </c>
      <c r="CA9" s="150">
        <f>Tabel2[[#This Row],[pnt t/m 2021/22]]</f>
        <v>88.75</v>
      </c>
      <c r="CB9" s="150">
        <f>Tabel2[[#This Row],[pnt 2022/2023]]</f>
        <v>0</v>
      </c>
      <c r="CC9" s="150">
        <f t="shared" si="6"/>
        <v>88.75</v>
      </c>
      <c r="CD9" s="150">
        <f>IF(Tabel2[[#This Row],[LPR 1]]&gt;0,1,0)</f>
        <v>0</v>
      </c>
      <c r="CE9" s="150">
        <f>IF(Tabel2[[#This Row],[LPR 2]]&gt;0,1,0)</f>
        <v>0</v>
      </c>
      <c r="CF9" s="150">
        <f>IF(Tabel2[[#This Row],[LPR 3]]&gt;0,1,0)</f>
        <v>0</v>
      </c>
      <c r="CG9" s="150">
        <f>IF(Tabel2[[#This Row],[LPR 4]]&gt;0,1,0)</f>
        <v>0</v>
      </c>
      <c r="CH9" s="150">
        <f>IF(Tabel2[[#This Row],[LPR 5]]&gt;0,1,0)</f>
        <v>0</v>
      </c>
      <c r="CI9" s="150">
        <f>IF(Tabel2[[#This Row],[LPR 6]]&gt;0,1,0)</f>
        <v>0</v>
      </c>
      <c r="CJ9" s="150">
        <f>IF(Tabel2[[#This Row],[LPR 7]]&gt;0,1,0)</f>
        <v>0</v>
      </c>
      <c r="CK9" s="150">
        <f>IF(Tabel2[[#This Row],[LPR 8]]&gt;0,1,0)</f>
        <v>0</v>
      </c>
      <c r="CL9" s="150">
        <f>IF(Tabel2[[#This Row],[LPR 9]]&gt;0,1,0)</f>
        <v>0</v>
      </c>
      <c r="CM9" s="150">
        <f>IF(Tabel2[[#This Row],[LPR 10]]&gt;0,1,0)</f>
        <v>0</v>
      </c>
      <c r="CN9" s="150">
        <f>SUM(Tabel7[[#This Row],[sep]:[jun]])</f>
        <v>0</v>
      </c>
      <c r="CO9" s="22" t="str">
        <f t="shared" si="1"/>
        <v/>
      </c>
      <c r="CP9" s="22" t="str">
        <f t="shared" si="2"/>
        <v/>
      </c>
      <c r="CQ9" s="22" t="str">
        <f t="shared" si="3"/>
        <v/>
      </c>
      <c r="CR9" s="22" t="str">
        <f t="shared" si="4"/>
        <v/>
      </c>
      <c r="CS9" s="22" t="str">
        <f t="shared" si="5"/>
        <v/>
      </c>
    </row>
    <row r="10" spans="1:97" x14ac:dyDescent="0.3">
      <c r="A10" s="22" t="s">
        <v>159</v>
      </c>
      <c r="B10" s="22" t="s">
        <v>149</v>
      </c>
      <c r="D10" s="22" t="s">
        <v>163</v>
      </c>
      <c r="E10" t="s">
        <v>166</v>
      </c>
      <c r="F10" s="22">
        <v>120472</v>
      </c>
      <c r="G10" s="25" t="s">
        <v>167</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0</v>
      </c>
      <c r="M10" s="153">
        <v>78.75</v>
      </c>
      <c r="O10">
        <v>1</v>
      </c>
      <c r="S10" s="153">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G10">
        <v>1</v>
      </c>
      <c r="AK10" s="23">
        <f>SUM(Tabel2[[#This Row],[V 4]]*10+Tabel2[[#This Row],[GT 4]])/Tabel2[[#This Row],[AW 4]]*10+Tabel2[[#This Row],[BONUS 4]]</f>
        <v>0</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55" t="str">
        <f t="shared" si="0"/>
        <v>geen actie</v>
      </c>
      <c r="CA10" s="150">
        <f>Tabel2[[#This Row],[pnt t/m 2021/22]]</f>
        <v>78.75</v>
      </c>
      <c r="CB10" s="150">
        <f>Tabel2[[#This Row],[pnt 2022/2023]]</f>
        <v>0</v>
      </c>
      <c r="CC10" s="150">
        <f t="shared" si="6"/>
        <v>78.75</v>
      </c>
      <c r="CD10" s="150">
        <f>IF(Tabel2[[#This Row],[LPR 1]]&gt;0,1,0)</f>
        <v>0</v>
      </c>
      <c r="CE10" s="150">
        <f>IF(Tabel2[[#This Row],[LPR 2]]&gt;0,1,0)</f>
        <v>0</v>
      </c>
      <c r="CF10" s="150">
        <f>IF(Tabel2[[#This Row],[LPR 3]]&gt;0,1,0)</f>
        <v>0</v>
      </c>
      <c r="CG10" s="150">
        <f>IF(Tabel2[[#This Row],[LPR 4]]&gt;0,1,0)</f>
        <v>0</v>
      </c>
      <c r="CH10" s="150">
        <f>IF(Tabel2[[#This Row],[LPR 5]]&gt;0,1,0)</f>
        <v>0</v>
      </c>
      <c r="CI10" s="150">
        <f>IF(Tabel2[[#This Row],[LPR 6]]&gt;0,1,0)</f>
        <v>0</v>
      </c>
      <c r="CJ10" s="150">
        <f>IF(Tabel2[[#This Row],[LPR 7]]&gt;0,1,0)</f>
        <v>0</v>
      </c>
      <c r="CK10" s="150">
        <f>IF(Tabel2[[#This Row],[LPR 8]]&gt;0,1,0)</f>
        <v>0</v>
      </c>
      <c r="CL10" s="150">
        <f>IF(Tabel2[[#This Row],[LPR 9]]&gt;0,1,0)</f>
        <v>0</v>
      </c>
      <c r="CM10" s="150">
        <f>IF(Tabel2[[#This Row],[LPR 10]]&gt;0,1,0)</f>
        <v>0</v>
      </c>
      <c r="CN10" s="150">
        <f>SUM(Tabel7[[#This Row],[sep]:[jun]])</f>
        <v>0</v>
      </c>
      <c r="CO10" s="22" t="str">
        <f t="shared" si="1"/>
        <v/>
      </c>
      <c r="CP10" s="22" t="str">
        <f t="shared" si="2"/>
        <v/>
      </c>
      <c r="CQ10" s="22" t="str">
        <f t="shared" si="3"/>
        <v/>
      </c>
      <c r="CR10" s="22" t="str">
        <f t="shared" si="4"/>
        <v/>
      </c>
      <c r="CS10" s="22" t="str">
        <f t="shared" si="5"/>
        <v/>
      </c>
    </row>
    <row r="11" spans="1:97" x14ac:dyDescent="0.3">
      <c r="A11" s="22" t="s">
        <v>148</v>
      </c>
      <c r="B11" s="22" t="s">
        <v>149</v>
      </c>
      <c r="D11" s="22" t="s">
        <v>150</v>
      </c>
      <c r="E11" t="s">
        <v>168</v>
      </c>
      <c r="F11" s="22">
        <v>119088</v>
      </c>
      <c r="G11" s="25" t="s">
        <v>169</v>
      </c>
      <c r="H11" s="142"/>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111.66666666666666</v>
      </c>
      <c r="M11" s="141"/>
      <c r="N11">
        <v>2</v>
      </c>
      <c r="O11">
        <v>6</v>
      </c>
      <c r="P11">
        <v>4</v>
      </c>
      <c r="Q11">
        <v>27</v>
      </c>
      <c r="S11" s="23">
        <f>SUM(Tabel2[[#This Row],[V 1]]*10+Tabel2[[#This Row],[GT 1]])/Tabel2[[#This Row],[AW 1]]*10+Tabel2[[#This Row],[BONUS 1]]</f>
        <v>111.66666666666666</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 t="shared" si="0"/>
        <v>geen actie</v>
      </c>
      <c r="CA11" s="150">
        <f>Tabel2[[#This Row],[pnt t/m 2021/22]]</f>
        <v>0</v>
      </c>
      <c r="CB11" s="150">
        <f>Tabel2[[#This Row],[pnt 2022/2023]]</f>
        <v>111.66666666666666</v>
      </c>
      <c r="CC11" s="150">
        <f t="shared" si="6"/>
        <v>111.66666666666666</v>
      </c>
      <c r="CD11" s="150">
        <f>IF(Tabel2[[#This Row],[LPR 1]]&gt;0,1,0)</f>
        <v>1</v>
      </c>
      <c r="CE11" s="150">
        <f>IF(Tabel2[[#This Row],[LPR 2]]&gt;0,1,0)</f>
        <v>0</v>
      </c>
      <c r="CF11" s="150">
        <f>IF(Tabel2[[#This Row],[LPR 3]]&gt;0,1,0)</f>
        <v>0</v>
      </c>
      <c r="CG11" s="150">
        <f>IF(Tabel2[[#This Row],[LPR 4]]&gt;0,1,0)</f>
        <v>0</v>
      </c>
      <c r="CH11" s="150">
        <f>IF(Tabel2[[#This Row],[LPR 5]]&gt;0,1,0)</f>
        <v>0</v>
      </c>
      <c r="CI11" s="150">
        <f>IF(Tabel2[[#This Row],[LPR 6]]&gt;0,1,0)</f>
        <v>0</v>
      </c>
      <c r="CJ11" s="150">
        <f>IF(Tabel2[[#This Row],[LPR 7]]&gt;0,1,0)</f>
        <v>0</v>
      </c>
      <c r="CK11" s="150">
        <f>IF(Tabel2[[#This Row],[LPR 8]]&gt;0,1,0)</f>
        <v>0</v>
      </c>
      <c r="CL11" s="150">
        <f>IF(Tabel2[[#This Row],[LPR 9]]&gt;0,1,0)</f>
        <v>0</v>
      </c>
      <c r="CM11" s="150">
        <f>IF(Tabel2[[#This Row],[LPR 10]]&gt;0,1,0)</f>
        <v>0</v>
      </c>
      <c r="CN11" s="150">
        <f>SUM(Tabel7[[#This Row],[sep]:[jun]])</f>
        <v>1</v>
      </c>
      <c r="CO11" s="22" t="str">
        <f t="shared" si="1"/>
        <v/>
      </c>
      <c r="CP11" s="22" t="str">
        <f t="shared" si="2"/>
        <v/>
      </c>
      <c r="CQ11" s="22" t="str">
        <f t="shared" si="3"/>
        <v/>
      </c>
      <c r="CR11" s="22" t="str">
        <f t="shared" si="4"/>
        <v/>
      </c>
      <c r="CS11" s="22" t="str">
        <f t="shared" si="5"/>
        <v/>
      </c>
    </row>
    <row r="12" spans="1:97" x14ac:dyDescent="0.3">
      <c r="A12" s="22" t="s">
        <v>153</v>
      </c>
      <c r="B12" s="22" t="s">
        <v>149</v>
      </c>
      <c r="D12" s="22" t="s">
        <v>163</v>
      </c>
      <c r="E12" t="s">
        <v>170</v>
      </c>
      <c r="F12" s="22">
        <v>118947</v>
      </c>
      <c r="G12" s="25" t="s">
        <v>171</v>
      </c>
      <c r="H12" s="142">
        <f>Tabel2[[#This Row],[pnt t/m 2021/22]]+Tabel2[[#This Row],[pnt 2022/2023]]</f>
        <v>1121.7857975357977</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0</v>
      </c>
      <c r="M12" s="141">
        <v>1121.7857975357977</v>
      </c>
      <c r="O12">
        <v>1</v>
      </c>
      <c r="S12" s="23">
        <f>SUM(Tabel2[[#This Row],[V 1]]*10+Tabel2[[#This Row],[GT 1]])/Tabel2[[#This Row],[AW 1]]*10+Tabel2[[#This Row],[BONUS 1]]</f>
        <v>0</v>
      </c>
      <c r="U12">
        <v>1</v>
      </c>
      <c r="Y12" s="23">
        <f>SUM(Tabel2[[#This Row],[V 2]]*10+Tabel2[[#This Row],[GT 2]])/Tabel2[[#This Row],[AW 2]]*10+Tabel2[[#This Row],[BONUS 2]]</f>
        <v>0</v>
      </c>
      <c r="AA12">
        <v>1</v>
      </c>
      <c r="AE12" s="23">
        <f>SUM(Tabel2[[#This Row],[V 3]]*10+Tabel2[[#This Row],[GT 3]])/Tabel2[[#This Row],[AW 3]]*10+Tabel2[[#This Row],[BONUS 3]]</f>
        <v>0</v>
      </c>
      <c r="AG12">
        <v>1</v>
      </c>
      <c r="AK12" s="23">
        <f>SUM(Tabel2[[#This Row],[V 4]]*10+Tabel2[[#This Row],[GT 4]])/Tabel2[[#This Row],[AW 4]]*10+Tabel2[[#This Row],[BONUS 4]]</f>
        <v>0</v>
      </c>
      <c r="AM12">
        <v>1</v>
      </c>
      <c r="AQ12" s="23">
        <f>SUM(Tabel2[[#This Row],[V 5]]*10+Tabel2[[#This Row],[GT 5]])/Tabel2[[#This Row],[AW 5]]*10+Tabel2[[#This Row],[BONUS 5]]</f>
        <v>0</v>
      </c>
      <c r="AS12">
        <v>1</v>
      </c>
      <c r="AW12" s="23">
        <f>SUM(Tabel2[[#This Row],[V 6]]*10+Tabel2[[#This Row],[GT 6]])/Tabel2[[#This Row],[AW 6]]*10+Tabel2[[#This Row],[BONUS 6]]</f>
        <v>0</v>
      </c>
      <c r="AY12">
        <v>1</v>
      </c>
      <c r="BC12" s="23">
        <f>SUM(Tabel2[[#This Row],[V 7]]*10+Tabel2[[#This Row],[GT 7]])/Tabel2[[#This Row],[AW 7]]*10+Tabel2[[#This Row],[BONUS 7]]</f>
        <v>0</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 t="shared" si="0"/>
        <v>geen actie</v>
      </c>
      <c r="CA12" s="150">
        <f>Tabel2[[#This Row],[pnt t/m 2021/22]]</f>
        <v>1121.7857975357977</v>
      </c>
      <c r="CB12" s="150">
        <f>Tabel2[[#This Row],[pnt 2022/2023]]</f>
        <v>0</v>
      </c>
      <c r="CC12" s="150">
        <f t="shared" si="6"/>
        <v>1121.7857975357977</v>
      </c>
      <c r="CD12" s="150">
        <f>IF(Tabel2[[#This Row],[LPR 1]]&gt;0,1,0)</f>
        <v>0</v>
      </c>
      <c r="CE12" s="150">
        <f>IF(Tabel2[[#This Row],[LPR 2]]&gt;0,1,0)</f>
        <v>0</v>
      </c>
      <c r="CF12" s="150">
        <f>IF(Tabel2[[#This Row],[LPR 3]]&gt;0,1,0)</f>
        <v>0</v>
      </c>
      <c r="CG12" s="150">
        <f>IF(Tabel2[[#This Row],[LPR 4]]&gt;0,1,0)</f>
        <v>0</v>
      </c>
      <c r="CH12" s="150">
        <f>IF(Tabel2[[#This Row],[LPR 5]]&gt;0,1,0)</f>
        <v>0</v>
      </c>
      <c r="CI12" s="150">
        <f>IF(Tabel2[[#This Row],[LPR 6]]&gt;0,1,0)</f>
        <v>0</v>
      </c>
      <c r="CJ12" s="150">
        <f>IF(Tabel2[[#This Row],[LPR 7]]&gt;0,1,0)</f>
        <v>0</v>
      </c>
      <c r="CK12" s="150">
        <f>IF(Tabel2[[#This Row],[LPR 8]]&gt;0,1,0)</f>
        <v>0</v>
      </c>
      <c r="CL12" s="150">
        <f>IF(Tabel2[[#This Row],[LPR 9]]&gt;0,1,0)</f>
        <v>0</v>
      </c>
      <c r="CM12" s="150">
        <f>IF(Tabel2[[#This Row],[LPR 10]]&gt;0,1,0)</f>
        <v>0</v>
      </c>
      <c r="CN12" s="150">
        <f>SUM(Tabel7[[#This Row],[sep]:[jun]])</f>
        <v>0</v>
      </c>
      <c r="CO12" s="22" t="str">
        <f t="shared" si="1"/>
        <v/>
      </c>
      <c r="CP12" s="22" t="str">
        <f t="shared" si="2"/>
        <v/>
      </c>
      <c r="CQ12" s="22" t="str">
        <f t="shared" si="3"/>
        <v/>
      </c>
      <c r="CR12" s="22" t="str">
        <f t="shared" si="4"/>
        <v/>
      </c>
      <c r="CS12" s="22" t="str">
        <f t="shared" si="5"/>
        <v/>
      </c>
    </row>
    <row r="13" spans="1:97" x14ac:dyDescent="0.3">
      <c r="A13" s="22" t="s">
        <v>148</v>
      </c>
      <c r="B13" s="22" t="s">
        <v>149</v>
      </c>
      <c r="D13" s="22" t="s">
        <v>160</v>
      </c>
      <c r="E13" t="s">
        <v>172</v>
      </c>
      <c r="F13" s="22">
        <v>118286</v>
      </c>
      <c r="G13" s="25" t="s">
        <v>171</v>
      </c>
      <c r="H13" s="142">
        <f>Tabel2[[#This Row],[pnt t/m 2021/22]]+Tabel2[[#This Row],[pnt 2022/2023]]</f>
        <v>2522.4789377289376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150</v>
      </c>
      <c r="M13" s="141">
        <v>2372.4789377289376</v>
      </c>
      <c r="O13">
        <v>1</v>
      </c>
      <c r="S13" s="23">
        <f>SUM(Tabel2[[#This Row],[V 1]]*10+Tabel2[[#This Row],[GT 1]])/Tabel2[[#This Row],[AW 1]]*10+Tabel2[[#This Row],[BONUS 1]]</f>
        <v>0</v>
      </c>
      <c r="U13">
        <v>1</v>
      </c>
      <c r="Y13" s="23">
        <f>SUM(Tabel2[[#This Row],[V 2]]*10+Tabel2[[#This Row],[GT 2]])/Tabel2[[#This Row],[AW 2]]*10+Tabel2[[#This Row],[BONUS 2]]</f>
        <v>0</v>
      </c>
      <c r="Z13">
        <v>1</v>
      </c>
      <c r="AA13">
        <v>8</v>
      </c>
      <c r="AB13">
        <v>8</v>
      </c>
      <c r="AC13">
        <v>40</v>
      </c>
      <c r="AE13" s="23">
        <f>SUM(Tabel2[[#This Row],[V 3]]*10+Tabel2[[#This Row],[GT 3]])/Tabel2[[#This Row],[AW 3]]*10+Tabel2[[#This Row],[BONUS 3]]</f>
        <v>150</v>
      </c>
      <c r="AG13">
        <v>1</v>
      </c>
      <c r="AK13" s="23">
        <f>SUM(Tabel2[[#This Row],[V 4]]*10+Tabel2[[#This Row],[GT 4]])/Tabel2[[#This Row],[AW 4]]*10+Tabel2[[#This Row],[BONUS 4]]</f>
        <v>0</v>
      </c>
      <c r="AM13">
        <v>1</v>
      </c>
      <c r="AQ13" s="23">
        <f>SUM(Tabel2[[#This Row],[V 5]]*10+Tabel2[[#This Row],[GT 5]])/Tabel2[[#This Row],[AW 5]]*10+Tabel2[[#This Row],[BONUS 5]]</f>
        <v>0</v>
      </c>
      <c r="AS13">
        <v>1</v>
      </c>
      <c r="AW13" s="23">
        <f>SUM(Tabel2[[#This Row],[V 6]]*10+Tabel2[[#This Row],[GT 6]])/Tabel2[[#This Row],[AW 6]]*10+Tabel2[[#This Row],[BONUS 6]]</f>
        <v>0</v>
      </c>
      <c r="AY13">
        <v>1</v>
      </c>
      <c r="BC13" s="23">
        <f>SUM(Tabel2[[#This Row],[V 7]]*10+Tabel2[[#This Row],[GT 7]])/Tabel2[[#This Row],[AW 7]]*10+Tabel2[[#This Row],[BONUS 7]]</f>
        <v>0</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3" s="22">
        <v>2000</v>
      </c>
      <c r="BX13" s="30">
        <f>Tabel2[[#This Row],[Diploma]]-Tabel2[[#This Row],[Uitgeschreven]]</f>
        <v>500</v>
      </c>
      <c r="BY13" s="2" t="str">
        <f t="shared" si="0"/>
        <v>diploma uitschrijven: 2500 punten</v>
      </c>
      <c r="CA13" s="150">
        <f>Tabel2[[#This Row],[pnt t/m 2021/22]]</f>
        <v>2372.4789377289376</v>
      </c>
      <c r="CB13" s="150">
        <f>Tabel2[[#This Row],[pnt 2022/2023]]</f>
        <v>150</v>
      </c>
      <c r="CC13" s="150">
        <f t="shared" si="6"/>
        <v>2522.4789377289376</v>
      </c>
      <c r="CD13" s="150">
        <f>IF(Tabel2[[#This Row],[LPR 1]]&gt;0,1,0)</f>
        <v>0</v>
      </c>
      <c r="CE13" s="150">
        <f>IF(Tabel2[[#This Row],[LPR 2]]&gt;0,1,0)</f>
        <v>0</v>
      </c>
      <c r="CF13" s="150">
        <f>IF(Tabel2[[#This Row],[LPR 3]]&gt;0,1,0)</f>
        <v>1</v>
      </c>
      <c r="CG13" s="150">
        <f>IF(Tabel2[[#This Row],[LPR 4]]&gt;0,1,0)</f>
        <v>0</v>
      </c>
      <c r="CH13" s="150">
        <f>IF(Tabel2[[#This Row],[LPR 5]]&gt;0,1,0)</f>
        <v>0</v>
      </c>
      <c r="CI13" s="150">
        <f>IF(Tabel2[[#This Row],[LPR 6]]&gt;0,1,0)</f>
        <v>0</v>
      </c>
      <c r="CJ13" s="150">
        <f>IF(Tabel2[[#This Row],[LPR 7]]&gt;0,1,0)</f>
        <v>0</v>
      </c>
      <c r="CK13" s="150">
        <f>IF(Tabel2[[#This Row],[LPR 8]]&gt;0,1,0)</f>
        <v>0</v>
      </c>
      <c r="CL13" s="150">
        <f>IF(Tabel2[[#This Row],[LPR 9]]&gt;0,1,0)</f>
        <v>0</v>
      </c>
      <c r="CM13" s="150">
        <f>IF(Tabel2[[#This Row],[LPR 10]]&gt;0,1,0)</f>
        <v>0</v>
      </c>
      <c r="CN13" s="150">
        <f>SUM(Tabel7[[#This Row],[sep]:[jun]])</f>
        <v>1</v>
      </c>
      <c r="CO13" s="22" t="str">
        <f t="shared" si="1"/>
        <v/>
      </c>
      <c r="CP13" s="22" t="str">
        <f t="shared" si="2"/>
        <v/>
      </c>
      <c r="CQ13" s="22" t="str">
        <f t="shared" si="3"/>
        <v/>
      </c>
      <c r="CR13" s="22" t="str">
        <f t="shared" si="4"/>
        <v>x</v>
      </c>
      <c r="CS13" s="22" t="str">
        <f t="shared" si="5"/>
        <v/>
      </c>
    </row>
    <row r="14" spans="1:97" x14ac:dyDescent="0.3">
      <c r="A14" s="22" t="s">
        <v>173</v>
      </c>
      <c r="B14" s="22" t="s">
        <v>149</v>
      </c>
      <c r="D14" s="22" t="s">
        <v>163</v>
      </c>
      <c r="E14" t="s">
        <v>174</v>
      </c>
      <c r="F14" s="22">
        <v>119540</v>
      </c>
      <c r="G14" s="25" t="s">
        <v>175</v>
      </c>
      <c r="H14" s="142">
        <f>Tabel2[[#This Row],[pnt t/m 2021/22]]+Tabel2[[#This Row],[pnt 2022/2023]]</f>
        <v>265.71428571428572</v>
      </c>
      <c r="I14">
        <v>2012</v>
      </c>
      <c r="J14">
        <v>2022</v>
      </c>
      <c r="K14" s="24">
        <f>Tabel2[[#This Row],[ijkdatum]]-Tabel2[[#This Row],[Geboren]]</f>
        <v>10</v>
      </c>
      <c r="L14" s="26">
        <f>Tabel2[[#This Row],[TTL 1]]+Tabel2[[#This Row],[TTL 2]]+Tabel2[[#This Row],[TTL 3]]+Tabel2[[#This Row],[TTL 4]]+Tabel2[[#This Row],[TTL 5]]+Tabel2[[#This Row],[TTL 6]]+Tabel2[[#This Row],[TTL 7]]+Tabel2[[#This Row],[TTL 8]]+Tabel2[[#This Row],[TTL 9]]+Tabel2[[#This Row],[TTL 10]]</f>
        <v>0</v>
      </c>
      <c r="M14" s="141">
        <v>265.71428571428572</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 s="22">
        <v>250</v>
      </c>
      <c r="BX14" s="30">
        <f>Tabel2[[#This Row],[Diploma]]-Tabel2[[#This Row],[Uitgeschreven]]</f>
        <v>0</v>
      </c>
      <c r="BY14" s="2" t="str">
        <f t="shared" si="0"/>
        <v>geen actie</v>
      </c>
      <c r="CA14" s="150">
        <f>Tabel2[[#This Row],[pnt t/m 2021/22]]</f>
        <v>265.71428571428572</v>
      </c>
      <c r="CB14" s="150">
        <f>Tabel2[[#This Row],[pnt 2022/2023]]</f>
        <v>0</v>
      </c>
      <c r="CC14" s="150">
        <f t="shared" si="6"/>
        <v>265.71428571428572</v>
      </c>
      <c r="CD14" s="150">
        <f>IF(Tabel2[[#This Row],[LPR 1]]&gt;0,1,0)</f>
        <v>0</v>
      </c>
      <c r="CE14" s="150">
        <f>IF(Tabel2[[#This Row],[LPR 2]]&gt;0,1,0)</f>
        <v>0</v>
      </c>
      <c r="CF14" s="150">
        <f>IF(Tabel2[[#This Row],[LPR 3]]&gt;0,1,0)</f>
        <v>0</v>
      </c>
      <c r="CG14" s="150">
        <f>IF(Tabel2[[#This Row],[LPR 4]]&gt;0,1,0)</f>
        <v>0</v>
      </c>
      <c r="CH14" s="150">
        <f>IF(Tabel2[[#This Row],[LPR 5]]&gt;0,1,0)</f>
        <v>0</v>
      </c>
      <c r="CI14" s="150">
        <f>IF(Tabel2[[#This Row],[LPR 6]]&gt;0,1,0)</f>
        <v>0</v>
      </c>
      <c r="CJ14" s="150">
        <f>IF(Tabel2[[#This Row],[LPR 7]]&gt;0,1,0)</f>
        <v>0</v>
      </c>
      <c r="CK14" s="150">
        <f>IF(Tabel2[[#This Row],[LPR 8]]&gt;0,1,0)</f>
        <v>0</v>
      </c>
      <c r="CL14" s="150">
        <f>IF(Tabel2[[#This Row],[LPR 9]]&gt;0,1,0)</f>
        <v>0</v>
      </c>
      <c r="CM14" s="150">
        <f>IF(Tabel2[[#This Row],[LPR 10]]&gt;0,1,0)</f>
        <v>0</v>
      </c>
      <c r="CN14" s="150">
        <f>SUM(Tabel7[[#This Row],[sep]:[jun]])</f>
        <v>0</v>
      </c>
      <c r="CO14" s="22" t="str">
        <f t="shared" si="1"/>
        <v/>
      </c>
      <c r="CP14" s="22" t="str">
        <f t="shared" si="2"/>
        <v/>
      </c>
      <c r="CQ14" s="22" t="str">
        <f t="shared" si="3"/>
        <v/>
      </c>
      <c r="CR14" s="22" t="str">
        <f t="shared" si="4"/>
        <v/>
      </c>
      <c r="CS14" s="22" t="str">
        <f t="shared" si="5"/>
        <v/>
      </c>
    </row>
    <row r="15" spans="1:97" x14ac:dyDescent="0.3">
      <c r="A15" s="22" t="s">
        <v>156</v>
      </c>
      <c r="B15" s="22" t="s">
        <v>149</v>
      </c>
      <c r="D15" s="22" t="s">
        <v>163</v>
      </c>
      <c r="E15" t="s">
        <v>176</v>
      </c>
      <c r="F15" s="22">
        <v>119707</v>
      </c>
      <c r="G15" s="25" t="s">
        <v>171</v>
      </c>
      <c r="H15" s="142">
        <f>Tabel2[[#This Row],[pnt t/m 2021/22]]+Tabel2[[#This Row],[pnt 2022/2023]]</f>
        <v>295.98809523809524</v>
      </c>
      <c r="I15">
        <v>2010</v>
      </c>
      <c r="J15">
        <v>2022</v>
      </c>
      <c r="K15" s="24">
        <f>Tabel2[[#This Row],[ijkdatum]]-Tabel2[[#This Row],[Geboren]]</f>
        <v>12</v>
      </c>
      <c r="L15" s="26">
        <f>Tabel2[[#This Row],[TTL 1]]+Tabel2[[#This Row],[TTL 2]]+Tabel2[[#This Row],[TTL 3]]+Tabel2[[#This Row],[TTL 4]]+Tabel2[[#This Row],[TTL 5]]+Tabel2[[#This Row],[TTL 6]]+Tabel2[[#This Row],[TTL 7]]+Tabel2[[#This Row],[TTL 8]]+Tabel2[[#This Row],[TTL 9]]+Tabel2[[#This Row],[TTL 10]]</f>
        <v>0</v>
      </c>
      <c r="M15" s="141">
        <v>295.98809523809524</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G15">
        <v>1</v>
      </c>
      <c r="AK15" s="23">
        <f>SUM(Tabel2[[#This Row],[V 4]]*10+Tabel2[[#This Row],[GT 4]])/Tabel2[[#This Row],[AW 4]]*10+Tabel2[[#This Row],[BONUS 4]]</f>
        <v>0</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 t="shared" si="0"/>
        <v>geen actie</v>
      </c>
      <c r="CA15" s="150">
        <f>Tabel2[[#This Row],[pnt t/m 2021/22]]</f>
        <v>295.98809523809524</v>
      </c>
      <c r="CB15" s="150">
        <f>Tabel2[[#This Row],[pnt 2022/2023]]</f>
        <v>0</v>
      </c>
      <c r="CC15" s="150">
        <f t="shared" si="6"/>
        <v>295.98809523809524</v>
      </c>
      <c r="CD15" s="150">
        <f>IF(Tabel2[[#This Row],[LPR 1]]&gt;0,1,0)</f>
        <v>0</v>
      </c>
      <c r="CE15" s="150">
        <f>IF(Tabel2[[#This Row],[LPR 2]]&gt;0,1,0)</f>
        <v>0</v>
      </c>
      <c r="CF15" s="150">
        <f>IF(Tabel2[[#This Row],[LPR 3]]&gt;0,1,0)</f>
        <v>0</v>
      </c>
      <c r="CG15" s="150">
        <f>IF(Tabel2[[#This Row],[LPR 4]]&gt;0,1,0)</f>
        <v>0</v>
      </c>
      <c r="CH15" s="150">
        <f>IF(Tabel2[[#This Row],[LPR 5]]&gt;0,1,0)</f>
        <v>0</v>
      </c>
      <c r="CI15" s="150">
        <f>IF(Tabel2[[#This Row],[LPR 6]]&gt;0,1,0)</f>
        <v>0</v>
      </c>
      <c r="CJ15" s="150">
        <f>IF(Tabel2[[#This Row],[LPR 7]]&gt;0,1,0)</f>
        <v>0</v>
      </c>
      <c r="CK15" s="150">
        <f>IF(Tabel2[[#This Row],[LPR 8]]&gt;0,1,0)</f>
        <v>0</v>
      </c>
      <c r="CL15" s="150">
        <f>IF(Tabel2[[#This Row],[LPR 9]]&gt;0,1,0)</f>
        <v>0</v>
      </c>
      <c r="CM15" s="150">
        <f>IF(Tabel2[[#This Row],[LPR 10]]&gt;0,1,0)</f>
        <v>0</v>
      </c>
      <c r="CN15" s="150">
        <f>SUM(Tabel7[[#This Row],[sep]:[jun]])</f>
        <v>0</v>
      </c>
      <c r="CO15" s="22" t="str">
        <f t="shared" si="1"/>
        <v/>
      </c>
      <c r="CP15" s="22" t="str">
        <f t="shared" si="2"/>
        <v/>
      </c>
      <c r="CQ15" s="22" t="str">
        <f t="shared" si="3"/>
        <v/>
      </c>
      <c r="CR15" s="22" t="str">
        <f t="shared" si="4"/>
        <v/>
      </c>
      <c r="CS15" s="22" t="str">
        <f t="shared" si="5"/>
        <v/>
      </c>
    </row>
    <row r="16" spans="1:97" x14ac:dyDescent="0.3">
      <c r="A16" s="22" t="s">
        <v>153</v>
      </c>
      <c r="B16" s="22" t="s">
        <v>157</v>
      </c>
      <c r="D16" s="22" t="s">
        <v>163</v>
      </c>
      <c r="E16" t="s">
        <v>177</v>
      </c>
      <c r="F16" s="22">
        <v>119705</v>
      </c>
      <c r="G16" s="25" t="s">
        <v>171</v>
      </c>
      <c r="H16" s="142">
        <f>Tabel2[[#This Row],[pnt t/m 2021/22]]+Tabel2[[#This Row],[pnt 2022/2023]]</f>
        <v>210.70238095238093</v>
      </c>
      <c r="I16">
        <v>2014</v>
      </c>
      <c r="J16">
        <v>2022</v>
      </c>
      <c r="K16" s="24">
        <f>Tabel2[[#This Row],[ijkdatum]]-Tabel2[[#This Row],[Geboren]]</f>
        <v>8</v>
      </c>
      <c r="L16" s="26">
        <f>Tabel2[[#This Row],[TTL 1]]+Tabel2[[#This Row],[TTL 2]]+Tabel2[[#This Row],[TTL 3]]+Tabel2[[#This Row],[TTL 4]]+Tabel2[[#This Row],[TTL 5]]+Tabel2[[#This Row],[TTL 6]]+Tabel2[[#This Row],[TTL 7]]+Tabel2[[#This Row],[TTL 8]]+Tabel2[[#This Row],[TTL 9]]+Tabel2[[#This Row],[TTL 10]]</f>
        <v>0</v>
      </c>
      <c r="M16" s="141">
        <v>210.70238095238093</v>
      </c>
      <c r="O16">
        <v>1</v>
      </c>
      <c r="S16" s="23">
        <f>SUM(Tabel2[[#This Row],[V 1]]*10+Tabel2[[#This Row],[GT 1]])/Tabel2[[#This Row],[AW 1]]*10+Tabel2[[#This Row],[BONUS 1]]</f>
        <v>0</v>
      </c>
      <c r="U16">
        <v>1</v>
      </c>
      <c r="Y16" s="23">
        <f>SUM(Tabel2[[#This Row],[V 2]]*10+Tabel2[[#This Row],[GT 2]])/Tabel2[[#This Row],[AW 2]]*10+Tabel2[[#This Row],[BONUS 2]]</f>
        <v>0</v>
      </c>
      <c r="AA16">
        <v>1</v>
      </c>
      <c r="AE16" s="23">
        <f>SUM(Tabel2[[#This Row],[V 3]]*10+Tabel2[[#This Row],[GT 3]])/Tabel2[[#This Row],[AW 3]]*10+Tabel2[[#This Row],[BONUS 3]]</f>
        <v>0</v>
      </c>
      <c r="AG16">
        <v>1</v>
      </c>
      <c r="AK16" s="23">
        <f>SUM(Tabel2[[#This Row],[V 4]]*10+Tabel2[[#This Row],[GT 4]])/Tabel2[[#This Row],[AW 4]]*10+Tabel2[[#This Row],[BONUS 4]]</f>
        <v>0</v>
      </c>
      <c r="AM16">
        <v>1</v>
      </c>
      <c r="AQ16" s="23">
        <f>SUM(Tabel2[[#This Row],[V 5]]*10+Tabel2[[#This Row],[GT 5]])/Tabel2[[#This Row],[AW 5]]*10+Tabel2[[#This Row],[BONUS 5]]</f>
        <v>0</v>
      </c>
      <c r="AS16">
        <v>1</v>
      </c>
      <c r="AW16" s="23">
        <f>SUM(Tabel2[[#This Row],[V 6]]*10+Tabel2[[#This Row],[GT 6]])/Tabel2[[#This Row],[AW 6]]*10+Tabel2[[#This Row],[BONUS 6]]</f>
        <v>0</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 s="22">
        <v>0</v>
      </c>
      <c r="BX16" s="30">
        <f>Tabel2[[#This Row],[Diploma]]-Tabel2[[#This Row],[Uitgeschreven]]</f>
        <v>0</v>
      </c>
      <c r="BY16" s="2" t="str">
        <f t="shared" si="0"/>
        <v>geen actie</v>
      </c>
      <c r="CA16" s="150">
        <f>Tabel2[[#This Row],[pnt t/m 2021/22]]</f>
        <v>210.70238095238093</v>
      </c>
      <c r="CB16" s="150">
        <f>Tabel2[[#This Row],[pnt 2022/2023]]</f>
        <v>0</v>
      </c>
      <c r="CC16" s="150">
        <f t="shared" si="6"/>
        <v>210.70238095238093</v>
      </c>
      <c r="CD16" s="150">
        <f>IF(Tabel2[[#This Row],[LPR 1]]&gt;0,1,0)</f>
        <v>0</v>
      </c>
      <c r="CE16" s="150">
        <f>IF(Tabel2[[#This Row],[LPR 2]]&gt;0,1,0)</f>
        <v>0</v>
      </c>
      <c r="CF16" s="150">
        <f>IF(Tabel2[[#This Row],[LPR 3]]&gt;0,1,0)</f>
        <v>0</v>
      </c>
      <c r="CG16" s="150">
        <f>IF(Tabel2[[#This Row],[LPR 4]]&gt;0,1,0)</f>
        <v>0</v>
      </c>
      <c r="CH16" s="150">
        <f>IF(Tabel2[[#This Row],[LPR 5]]&gt;0,1,0)</f>
        <v>0</v>
      </c>
      <c r="CI16" s="150">
        <f>IF(Tabel2[[#This Row],[LPR 6]]&gt;0,1,0)</f>
        <v>0</v>
      </c>
      <c r="CJ16" s="150">
        <f>IF(Tabel2[[#This Row],[LPR 7]]&gt;0,1,0)</f>
        <v>0</v>
      </c>
      <c r="CK16" s="150">
        <f>IF(Tabel2[[#This Row],[LPR 8]]&gt;0,1,0)</f>
        <v>0</v>
      </c>
      <c r="CL16" s="150">
        <f>IF(Tabel2[[#This Row],[LPR 9]]&gt;0,1,0)</f>
        <v>0</v>
      </c>
      <c r="CM16" s="150">
        <f>IF(Tabel2[[#This Row],[LPR 10]]&gt;0,1,0)</f>
        <v>0</v>
      </c>
      <c r="CN16" s="150">
        <f>SUM(Tabel7[[#This Row],[sep]:[jun]])</f>
        <v>0</v>
      </c>
      <c r="CO16" s="22" t="str">
        <f t="shared" si="1"/>
        <v/>
      </c>
      <c r="CP16" s="22" t="str">
        <f t="shared" si="2"/>
        <v/>
      </c>
      <c r="CQ16" s="22" t="str">
        <f t="shared" si="3"/>
        <v/>
      </c>
      <c r="CR16" s="22" t="str">
        <f t="shared" si="4"/>
        <v/>
      </c>
      <c r="CS16" s="22" t="str">
        <f t="shared" si="5"/>
        <v/>
      </c>
    </row>
    <row r="17" spans="1:97" x14ac:dyDescent="0.3">
      <c r="A17" s="22" t="s">
        <v>159</v>
      </c>
      <c r="B17" s="22" t="s">
        <v>149</v>
      </c>
      <c r="D17" s="22" t="s">
        <v>163</v>
      </c>
      <c r="E17" t="s">
        <v>178</v>
      </c>
      <c r="F17" s="22">
        <v>118308</v>
      </c>
      <c r="G17" s="25" t="s">
        <v>179</v>
      </c>
      <c r="H17" s="142">
        <f>Tabel2[[#This Row],[pnt t/m 2021/22]]+Tabel2[[#This Row],[pnt 2022/2023]]</f>
        <v>1175.939393939394</v>
      </c>
      <c r="I17">
        <v>2008</v>
      </c>
      <c r="J17">
        <v>2022</v>
      </c>
      <c r="K17" s="24">
        <f>Tabel2[[#This Row],[ijkdatum]]-Tabel2[[#This Row],[Geboren]]</f>
        <v>14</v>
      </c>
      <c r="L17" s="26">
        <f>Tabel2[[#This Row],[TTL 1]]+Tabel2[[#This Row],[TTL 2]]+Tabel2[[#This Row],[TTL 3]]+Tabel2[[#This Row],[TTL 4]]+Tabel2[[#This Row],[TTL 5]]+Tabel2[[#This Row],[TTL 6]]+Tabel2[[#This Row],[TTL 7]]+Tabel2[[#This Row],[TTL 8]]+Tabel2[[#This Row],[TTL 9]]+Tabel2[[#This Row],[TTL 10]]</f>
        <v>0</v>
      </c>
      <c r="M17" s="141">
        <v>1175.939393939394</v>
      </c>
      <c r="O17">
        <v>1</v>
      </c>
      <c r="S17" s="23">
        <f>SUM(Tabel2[[#This Row],[V 1]]*10+Tabel2[[#This Row],[GT 1]])/Tabel2[[#This Row],[AW 1]]*10+Tabel2[[#This Row],[BONUS 1]]</f>
        <v>0</v>
      </c>
      <c r="U17">
        <v>1</v>
      </c>
      <c r="Y17" s="23">
        <f>SUM(Tabel2[[#This Row],[V 2]]*10+Tabel2[[#This Row],[GT 2]])/Tabel2[[#This Row],[AW 2]]*10+Tabel2[[#This Row],[BONUS 2]]</f>
        <v>0</v>
      </c>
      <c r="AA17">
        <v>1</v>
      </c>
      <c r="AE17" s="23">
        <f>SUM(Tabel2[[#This Row],[V 3]]*10+Tabel2[[#This Row],[GT 3]])/Tabel2[[#This Row],[AW 3]]*10+Tabel2[[#This Row],[BONUS 3]]</f>
        <v>0</v>
      </c>
      <c r="AG17">
        <v>1</v>
      </c>
      <c r="AK17" s="23">
        <f>SUM(Tabel2[[#This Row],[V 4]]*10+Tabel2[[#This Row],[GT 4]])/Tabel2[[#This Row],[AW 4]]*10+Tabel2[[#This Row],[BONUS 4]]</f>
        <v>0</v>
      </c>
      <c r="AM17">
        <v>1</v>
      </c>
      <c r="AQ17" s="23">
        <f>SUM(Tabel2[[#This Row],[V 5]]*10+Tabel2[[#This Row],[GT 5]])/Tabel2[[#This Row],[AW 5]]*10+Tabel2[[#This Row],[BONUS 5]]</f>
        <v>0</v>
      </c>
      <c r="AS17">
        <v>1</v>
      </c>
      <c r="AW17" s="23">
        <f>SUM(Tabel2[[#This Row],[V 6]]*10+Tabel2[[#This Row],[GT 6]])/Tabel2[[#This Row],[AW 6]]*10+Tabel2[[#This Row],[BONUS 6]]</f>
        <v>0</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 s="22">
        <v>1000</v>
      </c>
      <c r="BX17" s="30">
        <f>Tabel2[[#This Row],[Diploma]]-Tabel2[[#This Row],[Uitgeschreven]]</f>
        <v>0</v>
      </c>
      <c r="BY17" s="2" t="str">
        <f t="shared" si="0"/>
        <v>geen actie</v>
      </c>
      <c r="CA17" s="150">
        <f>Tabel2[[#This Row],[pnt t/m 2021/22]]</f>
        <v>1175.939393939394</v>
      </c>
      <c r="CB17" s="150">
        <f>Tabel2[[#This Row],[pnt 2022/2023]]</f>
        <v>0</v>
      </c>
      <c r="CC17" s="150">
        <f t="shared" si="6"/>
        <v>1175.939393939394</v>
      </c>
      <c r="CD17" s="150">
        <f>IF(Tabel2[[#This Row],[LPR 1]]&gt;0,1,0)</f>
        <v>0</v>
      </c>
      <c r="CE17" s="150">
        <f>IF(Tabel2[[#This Row],[LPR 2]]&gt;0,1,0)</f>
        <v>0</v>
      </c>
      <c r="CF17" s="150">
        <f>IF(Tabel2[[#This Row],[LPR 3]]&gt;0,1,0)</f>
        <v>0</v>
      </c>
      <c r="CG17" s="150">
        <f>IF(Tabel2[[#This Row],[LPR 4]]&gt;0,1,0)</f>
        <v>0</v>
      </c>
      <c r="CH17" s="150">
        <f>IF(Tabel2[[#This Row],[LPR 5]]&gt;0,1,0)</f>
        <v>0</v>
      </c>
      <c r="CI17" s="150">
        <f>IF(Tabel2[[#This Row],[LPR 6]]&gt;0,1,0)</f>
        <v>0</v>
      </c>
      <c r="CJ17" s="150">
        <f>IF(Tabel2[[#This Row],[LPR 7]]&gt;0,1,0)</f>
        <v>0</v>
      </c>
      <c r="CK17" s="150">
        <f>IF(Tabel2[[#This Row],[LPR 8]]&gt;0,1,0)</f>
        <v>0</v>
      </c>
      <c r="CL17" s="150">
        <f>IF(Tabel2[[#This Row],[LPR 9]]&gt;0,1,0)</f>
        <v>0</v>
      </c>
      <c r="CM17" s="150">
        <f>IF(Tabel2[[#This Row],[LPR 10]]&gt;0,1,0)</f>
        <v>0</v>
      </c>
      <c r="CN17" s="150">
        <f>SUM(Tabel7[[#This Row],[sep]:[jun]])</f>
        <v>0</v>
      </c>
      <c r="CO17" s="22" t="str">
        <f t="shared" si="1"/>
        <v/>
      </c>
      <c r="CP17" s="22" t="str">
        <f t="shared" si="2"/>
        <v/>
      </c>
      <c r="CQ17" s="22" t="str">
        <f t="shared" si="3"/>
        <v/>
      </c>
      <c r="CR17" s="22" t="str">
        <f t="shared" si="4"/>
        <v/>
      </c>
      <c r="CS17" s="22" t="str">
        <f t="shared" si="5"/>
        <v/>
      </c>
    </row>
    <row r="18" spans="1:97" x14ac:dyDescent="0.3">
      <c r="A18" s="22" t="s">
        <v>153</v>
      </c>
      <c r="B18" s="22" t="s">
        <v>149</v>
      </c>
      <c r="D18" s="22" t="s">
        <v>163</v>
      </c>
      <c r="E18" t="s">
        <v>180</v>
      </c>
      <c r="F18" s="22">
        <v>119270</v>
      </c>
      <c r="G18" s="25" t="s">
        <v>181</v>
      </c>
      <c r="H18" s="142">
        <f>Tabel2[[#This Row],[pnt t/m 2021/22]]+Tabel2[[#This Row],[pnt 2022/2023]]</f>
        <v>948.11111111111109</v>
      </c>
      <c r="I18">
        <v>2011</v>
      </c>
      <c r="J18">
        <v>2022</v>
      </c>
      <c r="K18" s="24">
        <f>Tabel2[[#This Row],[ijkdatum]]-Tabel2[[#This Row],[Geboren]]</f>
        <v>11</v>
      </c>
      <c r="L18" s="26">
        <f>Tabel2[[#This Row],[TTL 1]]+Tabel2[[#This Row],[TTL 2]]+Tabel2[[#This Row],[TTL 3]]+Tabel2[[#This Row],[TTL 4]]+Tabel2[[#This Row],[TTL 5]]+Tabel2[[#This Row],[TTL 6]]+Tabel2[[#This Row],[TTL 7]]+Tabel2[[#This Row],[TTL 8]]+Tabel2[[#This Row],[TTL 9]]+Tabel2[[#This Row],[TTL 10]]</f>
        <v>0</v>
      </c>
      <c r="M18" s="141">
        <v>948.11111111111109</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8" s="22">
        <v>750</v>
      </c>
      <c r="BX18" s="30">
        <f>Tabel2[[#This Row],[Diploma]]-Tabel2[[#This Row],[Uitgeschreven]]</f>
        <v>0</v>
      </c>
      <c r="BY18" s="2" t="str">
        <f t="shared" si="0"/>
        <v>geen actie</v>
      </c>
      <c r="CA18" s="150">
        <f>Tabel2[[#This Row],[pnt t/m 2021/22]]</f>
        <v>948.11111111111109</v>
      </c>
      <c r="CB18" s="150">
        <f>Tabel2[[#This Row],[pnt 2022/2023]]</f>
        <v>0</v>
      </c>
      <c r="CC18" s="150">
        <f t="shared" si="6"/>
        <v>948.11111111111109</v>
      </c>
      <c r="CD18" s="150">
        <f>IF(Tabel2[[#This Row],[LPR 1]]&gt;0,1,0)</f>
        <v>0</v>
      </c>
      <c r="CE18" s="150">
        <f>IF(Tabel2[[#This Row],[LPR 2]]&gt;0,1,0)</f>
        <v>0</v>
      </c>
      <c r="CF18" s="150">
        <f>IF(Tabel2[[#This Row],[LPR 3]]&gt;0,1,0)</f>
        <v>0</v>
      </c>
      <c r="CG18" s="150">
        <f>IF(Tabel2[[#This Row],[LPR 4]]&gt;0,1,0)</f>
        <v>0</v>
      </c>
      <c r="CH18" s="150">
        <f>IF(Tabel2[[#This Row],[LPR 5]]&gt;0,1,0)</f>
        <v>0</v>
      </c>
      <c r="CI18" s="150">
        <f>IF(Tabel2[[#This Row],[LPR 6]]&gt;0,1,0)</f>
        <v>0</v>
      </c>
      <c r="CJ18" s="150">
        <f>IF(Tabel2[[#This Row],[LPR 7]]&gt;0,1,0)</f>
        <v>0</v>
      </c>
      <c r="CK18" s="150">
        <f>IF(Tabel2[[#This Row],[LPR 8]]&gt;0,1,0)</f>
        <v>0</v>
      </c>
      <c r="CL18" s="150">
        <f>IF(Tabel2[[#This Row],[LPR 9]]&gt;0,1,0)</f>
        <v>0</v>
      </c>
      <c r="CM18" s="150">
        <f>IF(Tabel2[[#This Row],[LPR 10]]&gt;0,1,0)</f>
        <v>0</v>
      </c>
      <c r="CN18" s="150">
        <f>SUM(Tabel7[[#This Row],[sep]:[jun]])</f>
        <v>0</v>
      </c>
      <c r="CO18" s="22" t="str">
        <f t="shared" si="1"/>
        <v/>
      </c>
      <c r="CP18" s="22" t="str">
        <f t="shared" si="2"/>
        <v/>
      </c>
      <c r="CQ18" s="22" t="str">
        <f t="shared" si="3"/>
        <v/>
      </c>
      <c r="CR18" s="22" t="str">
        <f t="shared" si="4"/>
        <v/>
      </c>
      <c r="CS18" s="22" t="str">
        <f t="shared" si="5"/>
        <v/>
      </c>
    </row>
    <row r="19" spans="1:97" x14ac:dyDescent="0.3">
      <c r="A19" s="22" t="s">
        <v>148</v>
      </c>
      <c r="B19" s="22" t="s">
        <v>149</v>
      </c>
      <c r="D19" s="22" t="s">
        <v>150</v>
      </c>
      <c r="E19" t="s">
        <v>182</v>
      </c>
      <c r="F19" s="22">
        <v>119465</v>
      </c>
      <c r="G19" s="25" t="s">
        <v>183</v>
      </c>
      <c r="H19" s="23">
        <f>Tabel2[[#This Row],[pnt t/m 2021/22]]+Tabel2[[#This Row],[pnt 2022/2023]]</f>
        <v>497.85714285714289</v>
      </c>
      <c r="I19">
        <v>2010</v>
      </c>
      <c r="J19">
        <v>2022</v>
      </c>
      <c r="K19" s="24">
        <f>Tabel2[[#This Row],[ijkdatum]]-Tabel2[[#This Row],[Geboren]]</f>
        <v>12</v>
      </c>
      <c r="L19" s="26">
        <f>Tabel2[[#This Row],[TTL 1]]+Tabel2[[#This Row],[TTL 2]]+Tabel2[[#This Row],[TTL 3]]+Tabel2[[#This Row],[TTL 4]]+Tabel2[[#This Row],[TTL 5]]+Tabel2[[#This Row],[TTL 6]]+Tabel2[[#This Row],[TTL 7]]+Tabel2[[#This Row],[TTL 8]]+Tabel2[[#This Row],[TTL 9]]+Tabel2[[#This Row],[TTL 10]]</f>
        <v>266</v>
      </c>
      <c r="M19" s="153">
        <v>231.85714285714289</v>
      </c>
      <c r="N19">
        <v>3</v>
      </c>
      <c r="O19">
        <v>10</v>
      </c>
      <c r="P19">
        <v>3</v>
      </c>
      <c r="Q19">
        <v>31</v>
      </c>
      <c r="S19" s="153">
        <f>SUM(Tabel2[[#This Row],[V 1]]*10+Tabel2[[#This Row],[GT 1]])/Tabel2[[#This Row],[AW 1]]*10+Tabel2[[#This Row],[BONUS 1]]</f>
        <v>61</v>
      </c>
      <c r="T19">
        <v>1</v>
      </c>
      <c r="U19">
        <v>1</v>
      </c>
      <c r="X19">
        <v>100</v>
      </c>
      <c r="Y19" s="153">
        <f>SUM(Tabel2[[#This Row],[V 2]]*10+Tabel2[[#This Row],[GT 2]])/Tabel2[[#This Row],[AW 2]]*10+Tabel2[[#This Row],[BONUS 2]]</f>
        <v>100</v>
      </c>
      <c r="Z19">
        <v>2</v>
      </c>
      <c r="AA19">
        <v>8</v>
      </c>
      <c r="AB19">
        <v>5</v>
      </c>
      <c r="AC19">
        <v>34</v>
      </c>
      <c r="AE19" s="23">
        <f>SUM(Tabel2[[#This Row],[V 3]]*10+Tabel2[[#This Row],[GT 3]])/Tabel2[[#This Row],[AW 3]]*10+Tabel2[[#This Row],[BONUS 3]]</f>
        <v>105</v>
      </c>
      <c r="AG19">
        <v>1</v>
      </c>
      <c r="AK19" s="153">
        <f>SUM(Tabel2[[#This Row],[V 4]]*10+Tabel2[[#This Row],[GT 4]])/Tabel2[[#This Row],[AW 4]]*10+Tabel2[[#This Row],[BONUS 4]]</f>
        <v>0</v>
      </c>
      <c r="AM19">
        <v>1</v>
      </c>
      <c r="AQ19" s="153">
        <f>SUM(Tabel2[[#This Row],[V 5]]*10+Tabel2[[#This Row],[GT 5]])/Tabel2[[#This Row],[AW 5]]*10+Tabel2[[#This Row],[BONUS 5]]</f>
        <v>0</v>
      </c>
      <c r="AS19">
        <v>1</v>
      </c>
      <c r="AW19" s="153">
        <f>SUM(Tabel2[[#This Row],[V 6]]*10+Tabel2[[#This Row],[GT 6]])/Tabel2[[#This Row],[AW 6]]*10+Tabel2[[#This Row],[BONUS 6]]</f>
        <v>0</v>
      </c>
      <c r="AY19">
        <v>1</v>
      </c>
      <c r="BC19" s="23">
        <f>SUM(Tabel2[[#This Row],[V 7]]*10+Tabel2[[#This Row],[GT 7]])/Tabel2[[#This Row],[AW 7]]*10+Tabel2[[#This Row],[BONUS 7]]</f>
        <v>0</v>
      </c>
      <c r="BE19">
        <v>1</v>
      </c>
      <c r="BI19" s="153">
        <f>SUM(Tabel2[[#This Row],[V 8]]*10+Tabel2[[#This Row],[GT 8]])/Tabel2[[#This Row],[AW 8]]*10+Tabel2[[#This Row],[BONUS 8]]</f>
        <v>0</v>
      </c>
      <c r="BK19">
        <v>1</v>
      </c>
      <c r="BO19" s="15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 s="22">
        <v>250</v>
      </c>
      <c r="BX19" s="22">
        <f>Tabel2[[#This Row],[Diploma]]-Tabel2[[#This Row],[Uitgeschreven]]</f>
        <v>0</v>
      </c>
      <c r="BY19" s="155" t="str">
        <f t="shared" si="0"/>
        <v>geen actie</v>
      </c>
      <c r="CA19" s="150">
        <f>Tabel2[[#This Row],[pnt t/m 2021/22]]</f>
        <v>231.85714285714289</v>
      </c>
      <c r="CB19" s="150">
        <f>Tabel2[[#This Row],[pnt 2022/2023]]</f>
        <v>266</v>
      </c>
      <c r="CC19" s="150">
        <f t="shared" si="6"/>
        <v>497.85714285714289</v>
      </c>
      <c r="CD19" s="150">
        <f>IF(Tabel2[[#This Row],[LPR 1]]&gt;0,1,0)</f>
        <v>1</v>
      </c>
      <c r="CE19" s="150">
        <f>IF(Tabel2[[#This Row],[LPR 2]]&gt;0,1,0)</f>
        <v>1</v>
      </c>
      <c r="CF19" s="150">
        <f>IF(Tabel2[[#This Row],[LPR 3]]&gt;0,1,0)</f>
        <v>1</v>
      </c>
      <c r="CG19" s="150">
        <f>IF(Tabel2[[#This Row],[LPR 4]]&gt;0,1,0)</f>
        <v>0</v>
      </c>
      <c r="CH19" s="150">
        <f>IF(Tabel2[[#This Row],[LPR 5]]&gt;0,1,0)</f>
        <v>0</v>
      </c>
      <c r="CI19" s="150">
        <f>IF(Tabel2[[#This Row],[LPR 6]]&gt;0,1,0)</f>
        <v>0</v>
      </c>
      <c r="CJ19" s="150">
        <f>IF(Tabel2[[#This Row],[LPR 7]]&gt;0,1,0)</f>
        <v>0</v>
      </c>
      <c r="CK19" s="150">
        <f>IF(Tabel2[[#This Row],[LPR 8]]&gt;0,1,0)</f>
        <v>0</v>
      </c>
      <c r="CL19" s="150">
        <f>IF(Tabel2[[#This Row],[LPR 9]]&gt;0,1,0)</f>
        <v>0</v>
      </c>
      <c r="CM19" s="150">
        <f>IF(Tabel2[[#This Row],[LPR 10]]&gt;0,1,0)</f>
        <v>0</v>
      </c>
      <c r="CN19" s="150">
        <f>SUM(Tabel7[[#This Row],[sep]:[jun]])</f>
        <v>3</v>
      </c>
      <c r="CO19" s="22" t="str">
        <f t="shared" si="1"/>
        <v/>
      </c>
      <c r="CP19" s="22" t="str">
        <f t="shared" si="2"/>
        <v/>
      </c>
      <c r="CQ19" s="22" t="str">
        <f t="shared" si="3"/>
        <v/>
      </c>
      <c r="CR19" s="22" t="str">
        <f t="shared" si="4"/>
        <v/>
      </c>
      <c r="CS19" s="22" t="str">
        <f t="shared" si="5"/>
        <v/>
      </c>
    </row>
    <row r="20" spans="1:97" x14ac:dyDescent="0.3">
      <c r="A20" s="22" t="s">
        <v>153</v>
      </c>
      <c r="B20" s="22" t="s">
        <v>157</v>
      </c>
      <c r="D20" s="22" t="s">
        <v>163</v>
      </c>
      <c r="E20" t="s">
        <v>184</v>
      </c>
      <c r="F20"/>
      <c r="G20" s="25" t="s">
        <v>185</v>
      </c>
      <c r="H20" s="23">
        <f>Tabel2[[#This Row],[pnt t/m 2021/22]]+Tabel2[[#This Row],[pnt 2022/2023]]</f>
        <v>9</v>
      </c>
      <c r="I20">
        <v>2015</v>
      </c>
      <c r="J20">
        <v>2022</v>
      </c>
      <c r="K20" s="24">
        <f>Tabel2[[#This Row],[ijkdatum]]-Tabel2[[#This Row],[Geboren]]</f>
        <v>7</v>
      </c>
      <c r="L20" s="26">
        <f>Tabel2[[#This Row],[TTL 1]]+Tabel2[[#This Row],[TTL 2]]+Tabel2[[#This Row],[TTL 3]]+Tabel2[[#This Row],[TTL 4]]+Tabel2[[#This Row],[TTL 5]]+Tabel2[[#This Row],[TTL 6]]+Tabel2[[#This Row],[TTL 7]]+Tabel2[[#This Row],[TTL 8]]+Tabel2[[#This Row],[TTL 9]]+Tabel2[[#This Row],[TTL 10]]</f>
        <v>0</v>
      </c>
      <c r="M20" s="153">
        <v>9</v>
      </c>
      <c r="O20">
        <v>1</v>
      </c>
      <c r="S20" s="153">
        <f>SUM(Tabel2[[#This Row],[V 1]]*10+Tabel2[[#This Row],[GT 1]])/Tabel2[[#This Row],[AW 1]]*10+Tabel2[[#This Row],[BONUS 1]]</f>
        <v>0</v>
      </c>
      <c r="U20">
        <v>1</v>
      </c>
      <c r="Y20" s="153">
        <f>SUM(Tabel2[[#This Row],[V 2]]*10+Tabel2[[#This Row],[GT 2]])/Tabel2[[#This Row],[AW 2]]*10+Tabel2[[#This Row],[BONUS 2]]</f>
        <v>0</v>
      </c>
      <c r="AA20">
        <v>1</v>
      </c>
      <c r="AE20" s="153">
        <f>SUM(Tabel2[[#This Row],[V 3]]*10+Tabel2[[#This Row],[GT 3]])/Tabel2[[#This Row],[AW 3]]*10+Tabel2[[#This Row],[BONUS 3]]</f>
        <v>0</v>
      </c>
      <c r="AG20">
        <v>1</v>
      </c>
      <c r="AK20" s="153">
        <f>SUM(Tabel2[[#This Row],[V 4]]*10+Tabel2[[#This Row],[GT 4]])/Tabel2[[#This Row],[AW 4]]*10+Tabel2[[#This Row],[BONUS 4]]</f>
        <v>0</v>
      </c>
      <c r="AM20">
        <v>1</v>
      </c>
      <c r="AQ20" s="153">
        <f>SUM(Tabel2[[#This Row],[V 5]]*10+Tabel2[[#This Row],[GT 5]])/Tabel2[[#This Row],[AW 5]]*10+Tabel2[[#This Row],[BONUS 5]]</f>
        <v>0</v>
      </c>
      <c r="AS20">
        <v>1</v>
      </c>
      <c r="AW20" s="153">
        <f>SUM(Tabel2[[#This Row],[V 6]]*10+Tabel2[[#This Row],[GT 6]])/Tabel2[[#This Row],[AW 6]]*10+Tabel2[[#This Row],[BONUS 6]]</f>
        <v>0</v>
      </c>
      <c r="AY20">
        <v>1</v>
      </c>
      <c r="BC20" s="153">
        <f>SUM(Tabel2[[#This Row],[V 7]]*10+Tabel2[[#This Row],[GT 7]])/Tabel2[[#This Row],[AW 7]]*10+Tabel2[[#This Row],[BONUS 7]]</f>
        <v>0</v>
      </c>
      <c r="BE20">
        <v>1</v>
      </c>
      <c r="BI20" s="153">
        <f>SUM(Tabel2[[#This Row],[V 8]]*10+Tabel2[[#This Row],[GT 8]])/Tabel2[[#This Row],[AW 8]]*10+Tabel2[[#This Row],[BONUS 8]]</f>
        <v>0</v>
      </c>
      <c r="BK20">
        <v>1</v>
      </c>
      <c r="BO20" s="153">
        <f>SUM(Tabel2[[#This Row],[V 9]]*10+Tabel2[[#This Row],[GT 9]])/Tabel2[[#This Row],[AW 9]]*10+Tabel2[[#This Row],[BONUS 9]]</f>
        <v>0</v>
      </c>
      <c r="BQ20">
        <v>1</v>
      </c>
      <c r="BU20" s="23">
        <f>SUM(Tabel2[[#This Row],[V 10]]*10+Tabel2[[#This Row],[GT 10]])/Tabel2[[#This Row],[AW 10]]*10+Tabel2[[#This Row],[BONUS 10]]</f>
        <v>0</v>
      </c>
      <c r="BV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 s="22">
        <v>0</v>
      </c>
      <c r="BX20" s="22">
        <f>Tabel2[[#This Row],[Diploma]]-Tabel2[[#This Row],[Uitgeschreven]]</f>
        <v>0</v>
      </c>
      <c r="BY20" s="155" t="str">
        <f t="shared" si="0"/>
        <v>geen actie</v>
      </c>
      <c r="CA20" s="150">
        <f>Tabel2[[#This Row],[pnt t/m 2021/22]]</f>
        <v>9</v>
      </c>
      <c r="CB20" s="150">
        <f>Tabel2[[#This Row],[pnt 2022/2023]]</f>
        <v>0</v>
      </c>
      <c r="CC20" s="150">
        <f t="shared" si="6"/>
        <v>9</v>
      </c>
      <c r="CD20" s="150">
        <f>IF(Tabel2[[#This Row],[LPR 1]]&gt;0,1,0)</f>
        <v>0</v>
      </c>
      <c r="CE20" s="150">
        <f>IF(Tabel2[[#This Row],[LPR 2]]&gt;0,1,0)</f>
        <v>0</v>
      </c>
      <c r="CF20" s="150">
        <f>IF(Tabel2[[#This Row],[LPR 3]]&gt;0,1,0)</f>
        <v>0</v>
      </c>
      <c r="CG20" s="150">
        <f>IF(Tabel2[[#This Row],[LPR 4]]&gt;0,1,0)</f>
        <v>0</v>
      </c>
      <c r="CH20" s="150">
        <f>IF(Tabel2[[#This Row],[LPR 5]]&gt;0,1,0)</f>
        <v>0</v>
      </c>
      <c r="CI20" s="150">
        <f>IF(Tabel2[[#This Row],[LPR 6]]&gt;0,1,0)</f>
        <v>0</v>
      </c>
      <c r="CJ20" s="150">
        <f>IF(Tabel2[[#This Row],[LPR 7]]&gt;0,1,0)</f>
        <v>0</v>
      </c>
      <c r="CK20" s="150">
        <f>IF(Tabel2[[#This Row],[LPR 8]]&gt;0,1,0)</f>
        <v>0</v>
      </c>
      <c r="CL20" s="150">
        <f>IF(Tabel2[[#This Row],[LPR 9]]&gt;0,1,0)</f>
        <v>0</v>
      </c>
      <c r="CM20" s="150">
        <f>IF(Tabel2[[#This Row],[LPR 10]]&gt;0,1,0)</f>
        <v>0</v>
      </c>
      <c r="CN20" s="150">
        <f>SUM(Tabel7[[#This Row],[sep]:[jun]])</f>
        <v>0</v>
      </c>
      <c r="CO20" s="22" t="str">
        <f t="shared" si="1"/>
        <v/>
      </c>
      <c r="CP20" s="22" t="str">
        <f t="shared" si="2"/>
        <v/>
      </c>
      <c r="CQ20" s="22" t="str">
        <f t="shared" si="3"/>
        <v/>
      </c>
      <c r="CR20" s="22" t="str">
        <f t="shared" si="4"/>
        <v/>
      </c>
      <c r="CS20" s="22" t="str">
        <f t="shared" si="5"/>
        <v/>
      </c>
    </row>
    <row r="21" spans="1:97" x14ac:dyDescent="0.3">
      <c r="A21" s="22" t="s">
        <v>159</v>
      </c>
      <c r="B21" s="22" t="s">
        <v>149</v>
      </c>
      <c r="D21" s="22" t="s">
        <v>150</v>
      </c>
      <c r="E21" t="s">
        <v>186</v>
      </c>
      <c r="F21" s="22">
        <v>117750</v>
      </c>
      <c r="G21" s="25" t="s">
        <v>187</v>
      </c>
      <c r="H21" s="142">
        <f>Tabel2[[#This Row],[pnt t/m 2021/22]]+Tabel2[[#This Row],[pnt 2022/2023]]</f>
        <v>986.79026610644246</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241.50735294117646</v>
      </c>
      <c r="M21" s="141">
        <v>745.282913165266</v>
      </c>
      <c r="N21">
        <v>10</v>
      </c>
      <c r="O21">
        <v>16</v>
      </c>
      <c r="P21">
        <v>14</v>
      </c>
      <c r="Q21">
        <v>77</v>
      </c>
      <c r="S21" s="23">
        <f>SUM(Tabel2[[#This Row],[V 1]]*10+Tabel2[[#This Row],[GT 1]])/Tabel2[[#This Row],[AW 1]]*10+Tabel2[[#This Row],[BONUS 1]]</f>
        <v>135.625</v>
      </c>
      <c r="U21">
        <v>1</v>
      </c>
      <c r="Y21" s="23">
        <f>SUM(Tabel2[[#This Row],[V 2]]*10+Tabel2[[#This Row],[GT 2]])/Tabel2[[#This Row],[AW 2]]*10+Tabel2[[#This Row],[BONUS 2]]</f>
        <v>0</v>
      </c>
      <c r="Z21">
        <v>9</v>
      </c>
      <c r="AA21">
        <v>17</v>
      </c>
      <c r="AB21">
        <v>11</v>
      </c>
      <c r="AC21">
        <v>70</v>
      </c>
      <c r="AE21" s="23">
        <f>SUM(Tabel2[[#This Row],[V 3]]*10+Tabel2[[#This Row],[GT 3]])/Tabel2[[#This Row],[AW 3]]*10+Tabel2[[#This Row],[BONUS 3]]</f>
        <v>105.88235294117646</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1" s="22">
        <v>750</v>
      </c>
      <c r="BX21" s="30">
        <f>Tabel2[[#This Row],[Diploma]]-Tabel2[[#This Row],[Uitgeschreven]]</f>
        <v>0</v>
      </c>
      <c r="BY21" s="2" t="str">
        <f t="shared" si="0"/>
        <v>geen actie</v>
      </c>
      <c r="CA21" s="150">
        <f>Tabel2[[#This Row],[pnt t/m 2021/22]]</f>
        <v>745.282913165266</v>
      </c>
      <c r="CB21" s="150">
        <f>Tabel2[[#This Row],[pnt 2022/2023]]</f>
        <v>241.50735294117646</v>
      </c>
      <c r="CC21" s="150">
        <f t="shared" si="6"/>
        <v>986.79026610644246</v>
      </c>
      <c r="CD21" s="150">
        <f>IF(Tabel2[[#This Row],[LPR 1]]&gt;0,1,0)</f>
        <v>1</v>
      </c>
      <c r="CE21" s="150">
        <f>IF(Tabel2[[#This Row],[LPR 2]]&gt;0,1,0)</f>
        <v>0</v>
      </c>
      <c r="CF21" s="150">
        <f>IF(Tabel2[[#This Row],[LPR 3]]&gt;0,1,0)</f>
        <v>1</v>
      </c>
      <c r="CG21" s="150">
        <f>IF(Tabel2[[#This Row],[LPR 4]]&gt;0,1,0)</f>
        <v>0</v>
      </c>
      <c r="CH21" s="150">
        <f>IF(Tabel2[[#This Row],[LPR 5]]&gt;0,1,0)</f>
        <v>0</v>
      </c>
      <c r="CI21" s="150">
        <f>IF(Tabel2[[#This Row],[LPR 6]]&gt;0,1,0)</f>
        <v>0</v>
      </c>
      <c r="CJ21" s="150">
        <f>IF(Tabel2[[#This Row],[LPR 7]]&gt;0,1,0)</f>
        <v>0</v>
      </c>
      <c r="CK21" s="150">
        <f>IF(Tabel2[[#This Row],[LPR 8]]&gt;0,1,0)</f>
        <v>0</v>
      </c>
      <c r="CL21" s="150">
        <f>IF(Tabel2[[#This Row],[LPR 9]]&gt;0,1,0)</f>
        <v>0</v>
      </c>
      <c r="CM21" s="150">
        <f>IF(Tabel2[[#This Row],[LPR 10]]&gt;0,1,0)</f>
        <v>0</v>
      </c>
      <c r="CN21" s="150">
        <f>SUM(Tabel7[[#This Row],[sep]:[jun]])</f>
        <v>2</v>
      </c>
      <c r="CO21" s="22" t="str">
        <f t="shared" si="1"/>
        <v/>
      </c>
      <c r="CP21" s="22" t="str">
        <f t="shared" si="2"/>
        <v/>
      </c>
      <c r="CQ21" s="22" t="str">
        <f t="shared" si="3"/>
        <v/>
      </c>
      <c r="CR21" s="22" t="str">
        <f t="shared" si="4"/>
        <v/>
      </c>
      <c r="CS21" s="22" t="str">
        <f t="shared" si="5"/>
        <v/>
      </c>
    </row>
    <row r="22" spans="1:97" x14ac:dyDescent="0.3">
      <c r="A22" s="22" t="s">
        <v>148</v>
      </c>
      <c r="B22" s="22" t="s">
        <v>149</v>
      </c>
      <c r="D22" s="22" t="s">
        <v>160</v>
      </c>
      <c r="E22" t="s">
        <v>188</v>
      </c>
      <c r="F22" s="22">
        <v>120917</v>
      </c>
      <c r="G22" s="25" t="s">
        <v>169</v>
      </c>
      <c r="H22" s="142">
        <f>Tabel2[[#This Row],[pnt t/m 2021/22]]+Tabel2[[#This Row],[pnt 2022/2023]]</f>
        <v>78.571428571428569</v>
      </c>
      <c r="I22">
        <v>2010</v>
      </c>
      <c r="J22">
        <v>2023</v>
      </c>
      <c r="K22" s="24">
        <f>Tabel2[[#This Row],[ijkdatum]]-Tabel2[[#This Row],[Geboren]]</f>
        <v>13</v>
      </c>
      <c r="L22" s="26">
        <f>Tabel2[[#This Row],[TTL 1]]+Tabel2[[#This Row],[TTL 2]]+Tabel2[[#This Row],[TTL 3]]+Tabel2[[#This Row],[TTL 4]]+Tabel2[[#This Row],[TTL 5]]+Tabel2[[#This Row],[TTL 6]]+Tabel2[[#This Row],[TTL 7]]+Tabel2[[#This Row],[TTL 8]]+Tabel2[[#This Row],[TTL 9]]+Tabel2[[#This Row],[TTL 10]]</f>
        <v>78.571428571428569</v>
      </c>
      <c r="M22" s="141"/>
      <c r="O22">
        <v>1</v>
      </c>
      <c r="S22" s="23">
        <f>SUM(Tabel2[[#This Row],[V 1]]*10+Tabel2[[#This Row],[GT 1]])/Tabel2[[#This Row],[AW 1]]*10+Tabel2[[#This Row],[BONUS 1]]</f>
        <v>0</v>
      </c>
      <c r="U22">
        <v>1</v>
      </c>
      <c r="Y22" s="23">
        <f>SUM(Tabel2[[#This Row],[V 2]]*10+Tabel2[[#This Row],[GT 2]])/Tabel2[[#This Row],[AW 2]]*10+Tabel2[[#This Row],[BONUS 2]]</f>
        <v>0</v>
      </c>
      <c r="Z22">
        <v>2</v>
      </c>
      <c r="AA22">
        <v>7</v>
      </c>
      <c r="AB22">
        <v>3</v>
      </c>
      <c r="AC22">
        <v>25</v>
      </c>
      <c r="AE22" s="23">
        <f>SUM(Tabel2[[#This Row],[V 3]]*10+Tabel2[[#This Row],[GT 3]])/Tabel2[[#This Row],[AW 3]]*10+Tabel2[[#This Row],[BONUS 3]]</f>
        <v>78.571428571428569</v>
      </c>
      <c r="AG22">
        <v>1</v>
      </c>
      <c r="AK22" s="23">
        <f>SUM(Tabel2[[#This Row],[V 4]]*10+Tabel2[[#This Row],[GT 4]])/Tabel2[[#This Row],[AW 4]]*10+Tabel2[[#This Row],[BONUS 4]]</f>
        <v>0</v>
      </c>
      <c r="AM22">
        <v>1</v>
      </c>
      <c r="AQ22" s="23">
        <f>SUM(Tabel2[[#This Row],[V 5]]*10+Tabel2[[#This Row],[GT 5]])/Tabel2[[#This Row],[AW 5]]*10+Tabel2[[#This Row],[BONUS 5]]</f>
        <v>0</v>
      </c>
      <c r="AS22">
        <v>1</v>
      </c>
      <c r="AW22" s="23">
        <f>SUM(Tabel2[[#This Row],[V 6]]*10+Tabel2[[#This Row],[GT 6]])/Tabel2[[#This Row],[AW 6]]*10+Tabel2[[#This Row],[BONUS 6]]</f>
        <v>0</v>
      </c>
      <c r="AY22">
        <v>1</v>
      </c>
      <c r="BC22" s="23">
        <f>SUM(Tabel2[[#This Row],[V 7]]*10+Tabel2[[#This Row],[GT 7]])/Tabel2[[#This Row],[AW 7]]*10+Tabel2[[#This Row],[BONUS 7]]</f>
        <v>0</v>
      </c>
      <c r="BE22">
        <v>1</v>
      </c>
      <c r="BI22" s="23">
        <f>SUM(Tabel2[[#This Row],[V 8]]*10+Tabel2[[#This Row],[GT 8]])/Tabel2[[#This Row],[AW 8]]*10+Tabel2[[#This Row],[BONUS 8]]</f>
        <v>0</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 s="22">
        <v>0</v>
      </c>
      <c r="BX22" s="30">
        <f>Tabel2[[#This Row],[Diploma]]-Tabel2[[#This Row],[Uitgeschreven]]</f>
        <v>0</v>
      </c>
      <c r="BY22" s="2" t="str">
        <f t="shared" si="0"/>
        <v>geen actie</v>
      </c>
      <c r="CA22" s="150">
        <f>Tabel2[[#This Row],[pnt t/m 2021/22]]</f>
        <v>0</v>
      </c>
      <c r="CB22" s="150">
        <f>Tabel2[[#This Row],[pnt 2022/2023]]</f>
        <v>78.571428571428569</v>
      </c>
      <c r="CC22" s="150">
        <f t="shared" si="6"/>
        <v>78.571428571428569</v>
      </c>
      <c r="CD22" s="150">
        <f>IF(Tabel2[[#This Row],[LPR 1]]&gt;0,1,0)</f>
        <v>0</v>
      </c>
      <c r="CE22" s="150">
        <f>IF(Tabel2[[#This Row],[LPR 2]]&gt;0,1,0)</f>
        <v>0</v>
      </c>
      <c r="CF22" s="150">
        <f>IF(Tabel2[[#This Row],[LPR 3]]&gt;0,1,0)</f>
        <v>1</v>
      </c>
      <c r="CG22" s="150">
        <f>IF(Tabel2[[#This Row],[LPR 4]]&gt;0,1,0)</f>
        <v>0</v>
      </c>
      <c r="CH22" s="150">
        <f>IF(Tabel2[[#This Row],[LPR 5]]&gt;0,1,0)</f>
        <v>0</v>
      </c>
      <c r="CI22" s="150">
        <f>IF(Tabel2[[#This Row],[LPR 6]]&gt;0,1,0)</f>
        <v>0</v>
      </c>
      <c r="CJ22" s="150">
        <f>IF(Tabel2[[#This Row],[LPR 7]]&gt;0,1,0)</f>
        <v>0</v>
      </c>
      <c r="CK22" s="150">
        <f>IF(Tabel2[[#This Row],[LPR 8]]&gt;0,1,0)</f>
        <v>0</v>
      </c>
      <c r="CL22" s="150">
        <f>IF(Tabel2[[#This Row],[LPR 9]]&gt;0,1,0)</f>
        <v>0</v>
      </c>
      <c r="CM22" s="150">
        <f>IF(Tabel2[[#This Row],[LPR 10]]&gt;0,1,0)</f>
        <v>0</v>
      </c>
      <c r="CN22" s="150">
        <f>SUM(Tabel7[[#This Row],[sep]:[jun]])</f>
        <v>1</v>
      </c>
      <c r="CO22" s="22" t="str">
        <f t="shared" si="1"/>
        <v/>
      </c>
      <c r="CP22" s="22" t="str">
        <f t="shared" si="2"/>
        <v/>
      </c>
      <c r="CQ22" s="22" t="str">
        <f t="shared" si="3"/>
        <v/>
      </c>
      <c r="CR22" s="22" t="str">
        <f t="shared" si="4"/>
        <v/>
      </c>
      <c r="CS22" s="22" t="str">
        <f t="shared" si="5"/>
        <v/>
      </c>
    </row>
    <row r="23" spans="1:97" x14ac:dyDescent="0.3">
      <c r="A23" s="22" t="s">
        <v>148</v>
      </c>
      <c r="B23" s="22" t="s">
        <v>149</v>
      </c>
      <c r="D23" s="22" t="s">
        <v>150</v>
      </c>
      <c r="E23" t="s">
        <v>189</v>
      </c>
      <c r="F23" s="22">
        <v>116408</v>
      </c>
      <c r="G23" s="25" t="s">
        <v>183</v>
      </c>
      <c r="H23" s="142">
        <f>Tabel2[[#This Row],[pnt t/m 2021/22]]+Tabel2[[#This Row],[pnt 2022/2023]]</f>
        <v>2299.0878565878565</v>
      </c>
      <c r="I23">
        <v>2008</v>
      </c>
      <c r="J23">
        <v>2022</v>
      </c>
      <c r="K23" s="24">
        <f>Tabel2[[#This Row],[ijkdatum]]-Tabel2[[#This Row],[Geboren]]</f>
        <v>14</v>
      </c>
      <c r="L23" s="26">
        <f>Tabel2[[#This Row],[TTL 1]]+Tabel2[[#This Row],[TTL 2]]+Tabel2[[#This Row],[TTL 3]]+Tabel2[[#This Row],[TTL 4]]+Tabel2[[#This Row],[TTL 5]]+Tabel2[[#This Row],[TTL 6]]+Tabel2[[#This Row],[TTL 7]]+Tabel2[[#This Row],[TTL 8]]+Tabel2[[#This Row],[TTL 9]]+Tabel2[[#This Row],[TTL 10]]</f>
        <v>187</v>
      </c>
      <c r="M23" s="141">
        <v>2112.0878565878565</v>
      </c>
      <c r="N23">
        <v>1</v>
      </c>
      <c r="O23">
        <v>10</v>
      </c>
      <c r="P23">
        <v>7</v>
      </c>
      <c r="Q23">
        <v>42</v>
      </c>
      <c r="S23" s="23">
        <f>SUM(Tabel2[[#This Row],[V 1]]*10+Tabel2[[#This Row],[GT 1]])/Tabel2[[#This Row],[AW 1]]*10+Tabel2[[#This Row],[BONUS 1]]</f>
        <v>112</v>
      </c>
      <c r="T23">
        <v>1</v>
      </c>
      <c r="U23">
        <v>1</v>
      </c>
      <c r="X23">
        <v>75</v>
      </c>
      <c r="Y23" s="23">
        <f>SUM(Tabel2[[#This Row],[V 2]]*10+Tabel2[[#This Row],[GT 2]])/Tabel2[[#This Row],[AW 2]]*10+Tabel2[[#This Row],[BONUS 2]]</f>
        <v>75</v>
      </c>
      <c r="AA23">
        <v>1</v>
      </c>
      <c r="AE23" s="23">
        <f>SUM(Tabel2[[#This Row],[V 3]]*10+Tabel2[[#This Row],[GT 3]])/Tabel2[[#This Row],[AW 3]]*10+Tabel2[[#This Row],[BONUS 3]]</f>
        <v>0</v>
      </c>
      <c r="AG23">
        <v>1</v>
      </c>
      <c r="AK23" s="23">
        <f>SUM(Tabel2[[#This Row],[V 4]]*10+Tabel2[[#This Row],[GT 4]])/Tabel2[[#This Row],[AW 4]]*10+Tabel2[[#This Row],[BONUS 4]]</f>
        <v>0</v>
      </c>
      <c r="AM23">
        <v>1</v>
      </c>
      <c r="AQ23" s="23">
        <f>SUM(Tabel2[[#This Row],[V 5]]*10+Tabel2[[#This Row],[GT 5]])/Tabel2[[#This Row],[AW 5]]*10+Tabel2[[#This Row],[BONUS 5]]</f>
        <v>0</v>
      </c>
      <c r="AS23">
        <v>1</v>
      </c>
      <c r="AW23" s="23">
        <f>SUM(Tabel2[[#This Row],[V 6]]*10+Tabel2[[#This Row],[GT 6]])/Tabel2[[#This Row],[AW 6]]*10+Tabel2[[#This Row],[BONUS 6]]</f>
        <v>0</v>
      </c>
      <c r="AY23">
        <v>1</v>
      </c>
      <c r="BC23" s="23">
        <f>SUM(Tabel2[[#This Row],[V 7]]*10+Tabel2[[#This Row],[GT 7]])/Tabel2[[#This Row],[AW 7]]*10+Tabel2[[#This Row],[BONUS 7]]</f>
        <v>0</v>
      </c>
      <c r="BE23">
        <v>1</v>
      </c>
      <c r="BI23" s="23">
        <f>SUM(Tabel2[[#This Row],[V 8]]*10+Tabel2[[#This Row],[GT 8]])/Tabel2[[#This Row],[AW 8]]*10+Tabel2[[#This Row],[BONUS 8]]</f>
        <v>0</v>
      </c>
      <c r="BK23">
        <v>1</v>
      </c>
      <c r="BO23" s="2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3" s="22">
        <v>2000</v>
      </c>
      <c r="BX23" s="30">
        <f>Tabel2[[#This Row],[Diploma]]-Tabel2[[#This Row],[Uitgeschreven]]</f>
        <v>0</v>
      </c>
      <c r="BY23" s="2" t="str">
        <f t="shared" si="0"/>
        <v>geen actie</v>
      </c>
      <c r="CA23" s="150">
        <f>Tabel2[[#This Row],[pnt t/m 2021/22]]</f>
        <v>2112.0878565878565</v>
      </c>
      <c r="CB23" s="150">
        <f>Tabel2[[#This Row],[pnt 2022/2023]]</f>
        <v>187</v>
      </c>
      <c r="CC23" s="150">
        <f t="shared" si="6"/>
        <v>2299.0878565878565</v>
      </c>
      <c r="CD23" s="150">
        <f>IF(Tabel2[[#This Row],[LPR 1]]&gt;0,1,0)</f>
        <v>1</v>
      </c>
      <c r="CE23" s="150">
        <f>IF(Tabel2[[#This Row],[LPR 2]]&gt;0,1,0)</f>
        <v>1</v>
      </c>
      <c r="CF23" s="150">
        <f>IF(Tabel2[[#This Row],[LPR 3]]&gt;0,1,0)</f>
        <v>0</v>
      </c>
      <c r="CG23" s="150">
        <f>IF(Tabel2[[#This Row],[LPR 4]]&gt;0,1,0)</f>
        <v>0</v>
      </c>
      <c r="CH23" s="150">
        <f>IF(Tabel2[[#This Row],[LPR 5]]&gt;0,1,0)</f>
        <v>0</v>
      </c>
      <c r="CI23" s="150">
        <f>IF(Tabel2[[#This Row],[LPR 6]]&gt;0,1,0)</f>
        <v>0</v>
      </c>
      <c r="CJ23" s="150">
        <f>IF(Tabel2[[#This Row],[LPR 7]]&gt;0,1,0)</f>
        <v>0</v>
      </c>
      <c r="CK23" s="150">
        <f>IF(Tabel2[[#This Row],[LPR 8]]&gt;0,1,0)</f>
        <v>0</v>
      </c>
      <c r="CL23" s="150">
        <f>IF(Tabel2[[#This Row],[LPR 9]]&gt;0,1,0)</f>
        <v>0</v>
      </c>
      <c r="CM23" s="150">
        <f>IF(Tabel2[[#This Row],[LPR 10]]&gt;0,1,0)</f>
        <v>0</v>
      </c>
      <c r="CN23" s="150">
        <f>SUM(Tabel7[[#This Row],[sep]:[jun]])</f>
        <v>2</v>
      </c>
      <c r="CO23" s="22" t="str">
        <f t="shared" si="1"/>
        <v/>
      </c>
      <c r="CP23" s="22" t="str">
        <f t="shared" si="2"/>
        <v/>
      </c>
      <c r="CQ23" s="22" t="str">
        <f t="shared" si="3"/>
        <v/>
      </c>
      <c r="CR23" s="22" t="str">
        <f t="shared" si="4"/>
        <v/>
      </c>
      <c r="CS23" s="22" t="str">
        <f t="shared" si="5"/>
        <v/>
      </c>
    </row>
    <row r="24" spans="1:97" x14ac:dyDescent="0.3">
      <c r="A24" s="22" t="s">
        <v>190</v>
      </c>
      <c r="B24" s="22" t="s">
        <v>149</v>
      </c>
      <c r="D24" s="22" t="s">
        <v>163</v>
      </c>
      <c r="E24" t="s">
        <v>191</v>
      </c>
      <c r="F24" s="22">
        <v>118893</v>
      </c>
      <c r="G24" s="25" t="s">
        <v>192</v>
      </c>
      <c r="H24" s="23">
        <f>Tabel2[[#This Row],[pnt t/m 2021/22]]+Tabel2[[#This Row],[pnt 2022/2023]]</f>
        <v>100</v>
      </c>
      <c r="I24">
        <v>2011</v>
      </c>
      <c r="J24">
        <v>2022</v>
      </c>
      <c r="K24" s="24">
        <f>Tabel2[[#This Row],[ijkdatum]]-Tabel2[[#This Row],[Geboren]]</f>
        <v>11</v>
      </c>
      <c r="L24" s="26">
        <f>Tabel2[[#This Row],[TTL 1]]+Tabel2[[#This Row],[TTL 2]]+Tabel2[[#This Row],[TTL 3]]+Tabel2[[#This Row],[TTL 4]]+Tabel2[[#This Row],[TTL 5]]+Tabel2[[#This Row],[TTL 6]]+Tabel2[[#This Row],[TTL 7]]+Tabel2[[#This Row],[TTL 8]]+Tabel2[[#This Row],[TTL 9]]+Tabel2[[#This Row],[TTL 10]]</f>
        <v>0</v>
      </c>
      <c r="M24" s="153">
        <v>100</v>
      </c>
      <c r="O24">
        <v>1</v>
      </c>
      <c r="S24" s="153">
        <f>SUM(Tabel2[[#This Row],[V 1]]*10+Tabel2[[#This Row],[GT 1]])/Tabel2[[#This Row],[AW 1]]*10+Tabel2[[#This Row],[BONUS 1]]</f>
        <v>0</v>
      </c>
      <c r="U24">
        <v>1</v>
      </c>
      <c r="Y24" s="153">
        <f>SUM(Tabel2[[#This Row],[V 2]]*10+Tabel2[[#This Row],[GT 2]])/Tabel2[[#This Row],[AW 2]]*10+Tabel2[[#This Row],[BONUS 2]]</f>
        <v>0</v>
      </c>
      <c r="AA24">
        <v>1</v>
      </c>
      <c r="AE24" s="153">
        <f>SUM(Tabel2[[#This Row],[V 3]]*10+Tabel2[[#This Row],[GT 3]])/Tabel2[[#This Row],[AW 3]]*10+Tabel2[[#This Row],[BONUS 3]]</f>
        <v>0</v>
      </c>
      <c r="AG24">
        <v>1</v>
      </c>
      <c r="AK24" s="153">
        <f>SUM(Tabel2[[#This Row],[V 4]]*10+Tabel2[[#This Row],[GT 4]])/Tabel2[[#This Row],[AW 4]]*10+Tabel2[[#This Row],[BONUS 4]]</f>
        <v>0</v>
      </c>
      <c r="AM24">
        <v>1</v>
      </c>
      <c r="AQ24" s="153">
        <f>SUM(Tabel2[[#This Row],[V 5]]*10+Tabel2[[#This Row],[GT 5]])/Tabel2[[#This Row],[AW 5]]*10+Tabel2[[#This Row],[BONUS 5]]</f>
        <v>0</v>
      </c>
      <c r="AS24">
        <v>1</v>
      </c>
      <c r="AW24" s="153">
        <f>SUM(Tabel2[[#This Row],[V 6]]*10+Tabel2[[#This Row],[GT 6]])/Tabel2[[#This Row],[AW 6]]*10+Tabel2[[#This Row],[BONUS 6]]</f>
        <v>0</v>
      </c>
      <c r="AY24">
        <v>1</v>
      </c>
      <c r="BC24" s="153">
        <f>SUM(Tabel2[[#This Row],[V 7]]*10+Tabel2[[#This Row],[GT 7]])/Tabel2[[#This Row],[AW 7]]*10+Tabel2[[#This Row],[BONUS 7]]</f>
        <v>0</v>
      </c>
      <c r="BE24">
        <v>1</v>
      </c>
      <c r="BI24" s="153">
        <f>SUM(Tabel2[[#This Row],[V 8]]*10+Tabel2[[#This Row],[GT 8]])/Tabel2[[#This Row],[AW 8]]*10+Tabel2[[#This Row],[BONUS 8]]</f>
        <v>0</v>
      </c>
      <c r="BK24">
        <v>1</v>
      </c>
      <c r="BO24" s="15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 s="22">
        <v>0</v>
      </c>
      <c r="BX24" s="22">
        <f>Tabel2[[#This Row],[Diploma]]-Tabel2[[#This Row],[Uitgeschreven]]</f>
        <v>0</v>
      </c>
      <c r="BY24" s="155" t="str">
        <f t="shared" si="0"/>
        <v>geen actie</v>
      </c>
      <c r="CA24" s="150">
        <f>Tabel2[[#This Row],[pnt t/m 2021/22]]</f>
        <v>100</v>
      </c>
      <c r="CB24" s="150">
        <f>Tabel2[[#This Row],[pnt 2022/2023]]</f>
        <v>0</v>
      </c>
      <c r="CC24" s="150">
        <f t="shared" si="6"/>
        <v>100</v>
      </c>
      <c r="CD24" s="150">
        <f>IF(Tabel2[[#This Row],[LPR 1]]&gt;0,1,0)</f>
        <v>0</v>
      </c>
      <c r="CE24" s="150">
        <f>IF(Tabel2[[#This Row],[LPR 2]]&gt;0,1,0)</f>
        <v>0</v>
      </c>
      <c r="CF24" s="150">
        <f>IF(Tabel2[[#This Row],[LPR 3]]&gt;0,1,0)</f>
        <v>0</v>
      </c>
      <c r="CG24" s="150">
        <f>IF(Tabel2[[#This Row],[LPR 4]]&gt;0,1,0)</f>
        <v>0</v>
      </c>
      <c r="CH24" s="150">
        <f>IF(Tabel2[[#This Row],[LPR 5]]&gt;0,1,0)</f>
        <v>0</v>
      </c>
      <c r="CI24" s="150">
        <f>IF(Tabel2[[#This Row],[LPR 6]]&gt;0,1,0)</f>
        <v>0</v>
      </c>
      <c r="CJ24" s="150">
        <f>IF(Tabel2[[#This Row],[LPR 7]]&gt;0,1,0)</f>
        <v>0</v>
      </c>
      <c r="CK24" s="150">
        <f>IF(Tabel2[[#This Row],[LPR 8]]&gt;0,1,0)</f>
        <v>0</v>
      </c>
      <c r="CL24" s="150">
        <f>IF(Tabel2[[#This Row],[LPR 9]]&gt;0,1,0)</f>
        <v>0</v>
      </c>
      <c r="CM24" s="150">
        <f>IF(Tabel2[[#This Row],[LPR 10]]&gt;0,1,0)</f>
        <v>0</v>
      </c>
      <c r="CN24" s="150">
        <f>SUM(Tabel7[[#This Row],[sep]:[jun]])</f>
        <v>0</v>
      </c>
      <c r="CO24" s="22" t="str">
        <f t="shared" si="1"/>
        <v/>
      </c>
      <c r="CP24" s="22" t="str">
        <f t="shared" si="2"/>
        <v/>
      </c>
      <c r="CQ24" s="22" t="str">
        <f t="shared" si="3"/>
        <v/>
      </c>
      <c r="CR24" s="22" t="str">
        <f t="shared" si="4"/>
        <v/>
      </c>
      <c r="CS24" s="22" t="str">
        <f t="shared" si="5"/>
        <v/>
      </c>
    </row>
    <row r="25" spans="1:97" x14ac:dyDescent="0.3">
      <c r="A25" s="22" t="s">
        <v>190</v>
      </c>
      <c r="B25" s="22" t="s">
        <v>149</v>
      </c>
      <c r="D25" s="22" t="s">
        <v>163</v>
      </c>
      <c r="E25" t="s">
        <v>193</v>
      </c>
      <c r="F25" s="22">
        <v>119943</v>
      </c>
      <c r="G25" s="25" t="s">
        <v>192</v>
      </c>
      <c r="H25" s="23">
        <f>Tabel2[[#This Row],[pnt t/m 2021/22]]+Tabel2[[#This Row],[pnt 2022/2023]]</f>
        <v>98.75</v>
      </c>
      <c r="I25">
        <v>2013</v>
      </c>
      <c r="J25">
        <v>2022</v>
      </c>
      <c r="K25" s="24">
        <f>Tabel2[[#This Row],[ijkdatum]]-Tabel2[[#This Row],[Geboren]]</f>
        <v>9</v>
      </c>
      <c r="L25" s="26">
        <f>Tabel2[[#This Row],[TTL 1]]+Tabel2[[#This Row],[TTL 2]]+Tabel2[[#This Row],[TTL 3]]+Tabel2[[#This Row],[TTL 4]]+Tabel2[[#This Row],[TTL 5]]+Tabel2[[#This Row],[TTL 6]]+Tabel2[[#This Row],[TTL 7]]+Tabel2[[#This Row],[TTL 8]]+Tabel2[[#This Row],[TTL 9]]+Tabel2[[#This Row],[TTL 10]]</f>
        <v>0</v>
      </c>
      <c r="M25" s="153">
        <v>98.75</v>
      </c>
      <c r="O25">
        <v>1</v>
      </c>
      <c r="S25" s="153">
        <f>SUM(Tabel2[[#This Row],[V 1]]*10+Tabel2[[#This Row],[GT 1]])/Tabel2[[#This Row],[AW 1]]*10+Tabel2[[#This Row],[BONUS 1]]</f>
        <v>0</v>
      </c>
      <c r="U25">
        <v>1</v>
      </c>
      <c r="Y25" s="153">
        <f>SUM(Tabel2[[#This Row],[V 2]]*10+Tabel2[[#This Row],[GT 2]])/Tabel2[[#This Row],[AW 2]]*10+Tabel2[[#This Row],[BONUS 2]]</f>
        <v>0</v>
      </c>
      <c r="AA25">
        <v>1</v>
      </c>
      <c r="AE25" s="153">
        <f>SUM(Tabel2[[#This Row],[V 3]]*10+Tabel2[[#This Row],[GT 3]])/Tabel2[[#This Row],[AW 3]]*10+Tabel2[[#This Row],[BONUS 3]]</f>
        <v>0</v>
      </c>
      <c r="AG25">
        <v>1</v>
      </c>
      <c r="AK25" s="153">
        <f>SUM(Tabel2[[#This Row],[V 4]]*10+Tabel2[[#This Row],[GT 4]])/Tabel2[[#This Row],[AW 4]]*10+Tabel2[[#This Row],[BONUS 4]]</f>
        <v>0</v>
      </c>
      <c r="AM25">
        <v>1</v>
      </c>
      <c r="AQ25" s="153">
        <f>SUM(Tabel2[[#This Row],[V 5]]*10+Tabel2[[#This Row],[GT 5]])/Tabel2[[#This Row],[AW 5]]*10+Tabel2[[#This Row],[BONUS 5]]</f>
        <v>0</v>
      </c>
      <c r="AS25">
        <v>1</v>
      </c>
      <c r="AW25" s="153">
        <f>SUM(Tabel2[[#This Row],[V 6]]*10+Tabel2[[#This Row],[GT 6]])/Tabel2[[#This Row],[AW 6]]*10+Tabel2[[#This Row],[BONUS 6]]</f>
        <v>0</v>
      </c>
      <c r="AY25">
        <v>1</v>
      </c>
      <c r="BC25" s="153">
        <f>SUM(Tabel2[[#This Row],[V 7]]*10+Tabel2[[#This Row],[GT 7]])/Tabel2[[#This Row],[AW 7]]*10+Tabel2[[#This Row],[BONUS 7]]</f>
        <v>0</v>
      </c>
      <c r="BE25">
        <v>1</v>
      </c>
      <c r="BI25" s="153">
        <f>SUM(Tabel2[[#This Row],[V 8]]*10+Tabel2[[#This Row],[GT 8]])/Tabel2[[#This Row],[AW 8]]*10+Tabel2[[#This Row],[BONUS 8]]</f>
        <v>0</v>
      </c>
      <c r="BK25">
        <v>1</v>
      </c>
      <c r="BO25" s="15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5" s="22">
        <v>0</v>
      </c>
      <c r="BX25" s="22">
        <f>Tabel2[[#This Row],[Diploma]]-Tabel2[[#This Row],[Uitgeschreven]]</f>
        <v>0</v>
      </c>
      <c r="BY25" s="155" t="str">
        <f t="shared" si="0"/>
        <v>geen actie</v>
      </c>
      <c r="CA25" s="150">
        <f>Tabel2[[#This Row],[pnt t/m 2021/22]]</f>
        <v>98.75</v>
      </c>
      <c r="CB25" s="150">
        <f>Tabel2[[#This Row],[pnt 2022/2023]]</f>
        <v>0</v>
      </c>
      <c r="CC25" s="150">
        <f t="shared" si="6"/>
        <v>98.75</v>
      </c>
      <c r="CD25" s="150">
        <f>IF(Tabel2[[#This Row],[LPR 1]]&gt;0,1,0)</f>
        <v>0</v>
      </c>
      <c r="CE25" s="150">
        <f>IF(Tabel2[[#This Row],[LPR 2]]&gt;0,1,0)</f>
        <v>0</v>
      </c>
      <c r="CF25" s="150">
        <f>IF(Tabel2[[#This Row],[LPR 3]]&gt;0,1,0)</f>
        <v>0</v>
      </c>
      <c r="CG25" s="150">
        <f>IF(Tabel2[[#This Row],[LPR 4]]&gt;0,1,0)</f>
        <v>0</v>
      </c>
      <c r="CH25" s="150">
        <f>IF(Tabel2[[#This Row],[LPR 5]]&gt;0,1,0)</f>
        <v>0</v>
      </c>
      <c r="CI25" s="150">
        <f>IF(Tabel2[[#This Row],[LPR 6]]&gt;0,1,0)</f>
        <v>0</v>
      </c>
      <c r="CJ25" s="150">
        <f>IF(Tabel2[[#This Row],[LPR 7]]&gt;0,1,0)</f>
        <v>0</v>
      </c>
      <c r="CK25" s="150">
        <f>IF(Tabel2[[#This Row],[LPR 8]]&gt;0,1,0)</f>
        <v>0</v>
      </c>
      <c r="CL25" s="150">
        <f>IF(Tabel2[[#This Row],[LPR 9]]&gt;0,1,0)</f>
        <v>0</v>
      </c>
      <c r="CM25" s="150">
        <f>IF(Tabel2[[#This Row],[LPR 10]]&gt;0,1,0)</f>
        <v>0</v>
      </c>
      <c r="CN25" s="150">
        <f>SUM(Tabel7[[#This Row],[sep]:[jun]])</f>
        <v>0</v>
      </c>
      <c r="CO25" s="22" t="str">
        <f t="shared" si="1"/>
        <v/>
      </c>
      <c r="CP25" s="22" t="str">
        <f t="shared" si="2"/>
        <v/>
      </c>
      <c r="CQ25" s="22" t="str">
        <f t="shared" si="3"/>
        <v/>
      </c>
      <c r="CR25" s="22" t="str">
        <f t="shared" si="4"/>
        <v/>
      </c>
      <c r="CS25" s="22" t="str">
        <f t="shared" si="5"/>
        <v/>
      </c>
    </row>
    <row r="26" spans="1:97" x14ac:dyDescent="0.3">
      <c r="A26" s="22" t="s">
        <v>148</v>
      </c>
      <c r="B26" s="22" t="s">
        <v>149</v>
      </c>
      <c r="D26" s="22" t="s">
        <v>163</v>
      </c>
      <c r="E26" t="s">
        <v>194</v>
      </c>
      <c r="F26" s="22">
        <v>118446</v>
      </c>
      <c r="G26" s="25" t="s">
        <v>195</v>
      </c>
      <c r="H26" s="142">
        <f>Tabel2[[#This Row],[pnt t/m 2021/22]]+Tabel2[[#This Row],[pnt 2022/2023]]</f>
        <v>183.90909090909091</v>
      </c>
      <c r="I26">
        <v>2009</v>
      </c>
      <c r="J26">
        <v>2022</v>
      </c>
      <c r="K26" s="24">
        <f>Tabel2[[#This Row],[ijkdatum]]-Tabel2[[#This Row],[Geboren]]</f>
        <v>13</v>
      </c>
      <c r="L26" s="26">
        <f>Tabel2[[#This Row],[TTL 1]]+Tabel2[[#This Row],[TTL 2]]+Tabel2[[#This Row],[TTL 3]]+Tabel2[[#This Row],[TTL 4]]+Tabel2[[#This Row],[TTL 5]]+Tabel2[[#This Row],[TTL 6]]+Tabel2[[#This Row],[TTL 7]]+Tabel2[[#This Row],[TTL 8]]+Tabel2[[#This Row],[TTL 9]]+Tabel2[[#This Row],[TTL 10]]</f>
        <v>0</v>
      </c>
      <c r="M26" s="141">
        <v>183.90909090909091</v>
      </c>
      <c r="O26">
        <v>1</v>
      </c>
      <c r="S26" s="23">
        <f>SUM(Tabel2[[#This Row],[V 1]]*10+Tabel2[[#This Row],[GT 1]])/Tabel2[[#This Row],[AW 1]]*10+Tabel2[[#This Row],[BONUS 1]]</f>
        <v>0</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6" s="22">
        <v>0</v>
      </c>
      <c r="BX26" s="30">
        <f>Tabel2[[#This Row],[Diploma]]-Tabel2[[#This Row],[Uitgeschreven]]</f>
        <v>0</v>
      </c>
      <c r="BY26" s="2" t="str">
        <f t="shared" si="0"/>
        <v>geen actie</v>
      </c>
      <c r="CA26" s="150">
        <f>Tabel2[[#This Row],[pnt t/m 2021/22]]</f>
        <v>183.90909090909091</v>
      </c>
      <c r="CB26" s="150">
        <f>Tabel2[[#This Row],[pnt 2022/2023]]</f>
        <v>0</v>
      </c>
      <c r="CC26" s="150">
        <f t="shared" si="6"/>
        <v>183.90909090909091</v>
      </c>
      <c r="CD26" s="150">
        <f>IF(Tabel2[[#This Row],[LPR 1]]&gt;0,1,0)</f>
        <v>0</v>
      </c>
      <c r="CE26" s="150">
        <f>IF(Tabel2[[#This Row],[LPR 2]]&gt;0,1,0)</f>
        <v>0</v>
      </c>
      <c r="CF26" s="150">
        <f>IF(Tabel2[[#This Row],[LPR 3]]&gt;0,1,0)</f>
        <v>0</v>
      </c>
      <c r="CG26" s="150">
        <f>IF(Tabel2[[#This Row],[LPR 4]]&gt;0,1,0)</f>
        <v>0</v>
      </c>
      <c r="CH26" s="150">
        <f>IF(Tabel2[[#This Row],[LPR 5]]&gt;0,1,0)</f>
        <v>0</v>
      </c>
      <c r="CI26" s="150">
        <f>IF(Tabel2[[#This Row],[LPR 6]]&gt;0,1,0)</f>
        <v>0</v>
      </c>
      <c r="CJ26" s="150">
        <f>IF(Tabel2[[#This Row],[LPR 7]]&gt;0,1,0)</f>
        <v>0</v>
      </c>
      <c r="CK26" s="150">
        <f>IF(Tabel2[[#This Row],[LPR 8]]&gt;0,1,0)</f>
        <v>0</v>
      </c>
      <c r="CL26" s="150">
        <f>IF(Tabel2[[#This Row],[LPR 9]]&gt;0,1,0)</f>
        <v>0</v>
      </c>
      <c r="CM26" s="150">
        <f>IF(Tabel2[[#This Row],[LPR 10]]&gt;0,1,0)</f>
        <v>0</v>
      </c>
      <c r="CN26" s="150">
        <f>SUM(Tabel7[[#This Row],[sep]:[jun]])</f>
        <v>0</v>
      </c>
      <c r="CO26" s="22" t="str">
        <f t="shared" si="1"/>
        <v/>
      </c>
      <c r="CP26" s="22" t="str">
        <f t="shared" si="2"/>
        <v/>
      </c>
      <c r="CQ26" s="22" t="str">
        <f t="shared" si="3"/>
        <v/>
      </c>
      <c r="CR26" s="22" t="str">
        <f t="shared" si="4"/>
        <v/>
      </c>
      <c r="CS26" s="22" t="str">
        <f t="shared" si="5"/>
        <v/>
      </c>
    </row>
    <row r="27" spans="1:97" x14ac:dyDescent="0.3">
      <c r="A27" s="22" t="s">
        <v>159</v>
      </c>
      <c r="B27" s="22" t="s">
        <v>149</v>
      </c>
      <c r="D27" s="22" t="s">
        <v>150</v>
      </c>
      <c r="E27" t="s">
        <v>196</v>
      </c>
      <c r="F27" s="22">
        <v>119755</v>
      </c>
      <c r="G27" s="25" t="s">
        <v>162</v>
      </c>
      <c r="H27" s="142">
        <f>Tabel2[[#This Row],[pnt t/m 2021/22]]+Tabel2[[#This Row],[pnt 2022/2023]]</f>
        <v>769.77007469654529</v>
      </c>
      <c r="I27">
        <v>2011</v>
      </c>
      <c r="J27">
        <v>2022</v>
      </c>
      <c r="K27" s="24">
        <f>Tabel2[[#This Row],[ijkdatum]]-Tabel2[[#This Row],[Geboren]]</f>
        <v>11</v>
      </c>
      <c r="L27" s="26">
        <f>Tabel2[[#This Row],[TTL 1]]+Tabel2[[#This Row],[TTL 2]]+Tabel2[[#This Row],[TTL 3]]+Tabel2[[#This Row],[TTL 4]]+Tabel2[[#This Row],[TTL 5]]+Tabel2[[#This Row],[TTL 6]]+Tabel2[[#This Row],[TTL 7]]+Tabel2[[#This Row],[TTL 8]]+Tabel2[[#This Row],[TTL 9]]+Tabel2[[#This Row],[TTL 10]]</f>
        <v>98.89705882352942</v>
      </c>
      <c r="M27" s="141">
        <v>670.8730158730159</v>
      </c>
      <c r="N27">
        <v>10</v>
      </c>
      <c r="O27">
        <v>16</v>
      </c>
      <c r="P27">
        <v>5</v>
      </c>
      <c r="Q27">
        <v>48</v>
      </c>
      <c r="S27" s="23">
        <f>SUM(Tabel2[[#This Row],[V 1]]*10+Tabel2[[#This Row],[GT 1]])/Tabel2[[#This Row],[AW 1]]*10+Tabel2[[#This Row],[BONUS 1]]</f>
        <v>61.25</v>
      </c>
      <c r="U27">
        <v>1</v>
      </c>
      <c r="Y27" s="23">
        <f>SUM(Tabel2[[#This Row],[V 2]]*10+Tabel2[[#This Row],[GT 2]])/Tabel2[[#This Row],[AW 2]]*10+Tabel2[[#This Row],[BONUS 2]]</f>
        <v>0</v>
      </c>
      <c r="Z27">
        <v>9</v>
      </c>
      <c r="AA27">
        <v>17</v>
      </c>
      <c r="AB27">
        <v>3</v>
      </c>
      <c r="AC27">
        <v>34</v>
      </c>
      <c r="AE27" s="23">
        <f>SUM(Tabel2[[#This Row],[V 3]]*10+Tabel2[[#This Row],[GT 3]])/Tabel2[[#This Row],[AW 3]]*10+Tabel2[[#This Row],[BONUS 3]]</f>
        <v>37.647058823529413</v>
      </c>
      <c r="AG27">
        <v>1</v>
      </c>
      <c r="AK27" s="23">
        <f>SUM(Tabel2[[#This Row],[V 4]]*10+Tabel2[[#This Row],[GT 4]])/Tabel2[[#This Row],[AW 4]]*10+Tabel2[[#This Row],[BONUS 4]]</f>
        <v>0</v>
      </c>
      <c r="AM27">
        <v>1</v>
      </c>
      <c r="AQ27" s="23">
        <f>SUM(Tabel2[[#This Row],[V 5]]*10+Tabel2[[#This Row],[GT 5]])/Tabel2[[#This Row],[AW 5]]*10+Tabel2[[#This Row],[BONUS 5]]</f>
        <v>0</v>
      </c>
      <c r="AS27">
        <v>1</v>
      </c>
      <c r="AW27" s="23">
        <f>SUM(Tabel2[[#This Row],[V 6]]*10+Tabel2[[#This Row],[GT 6]])/Tabel2[[#This Row],[AW 6]]*10+Tabel2[[#This Row],[BONUS 6]]</f>
        <v>0</v>
      </c>
      <c r="AY27">
        <v>1</v>
      </c>
      <c r="BC27" s="23">
        <f>SUM(Tabel2[[#This Row],[V 7]]*10+Tabel2[[#This Row],[GT 7]])/Tabel2[[#This Row],[AW 7]]*10+Tabel2[[#This Row],[BONUS 7]]</f>
        <v>0</v>
      </c>
      <c r="BE27">
        <v>1</v>
      </c>
      <c r="BI27" s="23">
        <f>SUM(Tabel2[[#This Row],[V 8]]*10+Tabel2[[#This Row],[GT 8]])/Tabel2[[#This Row],[AW 8]]*10+Tabel2[[#This Row],[BONUS 8]]</f>
        <v>0</v>
      </c>
      <c r="BK27">
        <v>1</v>
      </c>
      <c r="BO27" s="23">
        <f>SUM(Tabel2[[#This Row],[V 9]]*10+Tabel2[[#This Row],[GT 9]])/Tabel2[[#This Row],[AW 9]]*10+Tabel2[[#This Row],[BONUS 9]]</f>
        <v>0</v>
      </c>
      <c r="BQ27">
        <v>1</v>
      </c>
      <c r="BU27" s="23">
        <f>SUM(Tabel2[[#This Row],[V 10]]*10+Tabel2[[#This Row],[GT 10]])/Tabel2[[#This Row],[AW 10]]*10+Tabel2[[#This Row],[BONUS 10]]</f>
        <v>0</v>
      </c>
      <c r="BV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7" s="22">
        <v>500</v>
      </c>
      <c r="BX27" s="30">
        <f>Tabel2[[#This Row],[Diploma]]-Tabel2[[#This Row],[Uitgeschreven]]</f>
        <v>250</v>
      </c>
      <c r="BY27" s="2" t="str">
        <f t="shared" si="0"/>
        <v>diploma uitschrijven: 750 punten</v>
      </c>
      <c r="CA27" s="150">
        <f>Tabel2[[#This Row],[pnt t/m 2021/22]]</f>
        <v>670.8730158730159</v>
      </c>
      <c r="CB27" s="150">
        <f>Tabel2[[#This Row],[pnt 2022/2023]]</f>
        <v>98.89705882352942</v>
      </c>
      <c r="CC27" s="150">
        <f t="shared" si="6"/>
        <v>769.77007469654529</v>
      </c>
      <c r="CD27" s="150">
        <f>IF(Tabel2[[#This Row],[LPR 1]]&gt;0,1,0)</f>
        <v>1</v>
      </c>
      <c r="CE27" s="150">
        <f>IF(Tabel2[[#This Row],[LPR 2]]&gt;0,1,0)</f>
        <v>0</v>
      </c>
      <c r="CF27" s="150">
        <f>IF(Tabel2[[#This Row],[LPR 3]]&gt;0,1,0)</f>
        <v>1</v>
      </c>
      <c r="CG27" s="150">
        <f>IF(Tabel2[[#This Row],[LPR 4]]&gt;0,1,0)</f>
        <v>0</v>
      </c>
      <c r="CH27" s="150">
        <f>IF(Tabel2[[#This Row],[LPR 5]]&gt;0,1,0)</f>
        <v>0</v>
      </c>
      <c r="CI27" s="150">
        <f>IF(Tabel2[[#This Row],[LPR 6]]&gt;0,1,0)</f>
        <v>0</v>
      </c>
      <c r="CJ27" s="150">
        <f>IF(Tabel2[[#This Row],[LPR 7]]&gt;0,1,0)</f>
        <v>0</v>
      </c>
      <c r="CK27" s="150">
        <f>IF(Tabel2[[#This Row],[LPR 8]]&gt;0,1,0)</f>
        <v>0</v>
      </c>
      <c r="CL27" s="150">
        <f>IF(Tabel2[[#This Row],[LPR 9]]&gt;0,1,0)</f>
        <v>0</v>
      </c>
      <c r="CM27" s="150">
        <f>IF(Tabel2[[#This Row],[LPR 10]]&gt;0,1,0)</f>
        <v>0</v>
      </c>
      <c r="CN27" s="150">
        <f>SUM(Tabel7[[#This Row],[sep]:[jun]])</f>
        <v>2</v>
      </c>
      <c r="CO27" s="22" t="str">
        <f t="shared" si="1"/>
        <v/>
      </c>
      <c r="CP27" s="22" t="str">
        <f t="shared" si="2"/>
        <v/>
      </c>
      <c r="CQ27" s="22" t="str">
        <f t="shared" si="3"/>
        <v/>
      </c>
      <c r="CR27" s="22" t="str">
        <f t="shared" si="4"/>
        <v/>
      </c>
      <c r="CS27" s="22" t="str">
        <f t="shared" si="5"/>
        <v/>
      </c>
    </row>
    <row r="28" spans="1:97" x14ac:dyDescent="0.3">
      <c r="A28" s="22" t="s">
        <v>173</v>
      </c>
      <c r="B28" s="22" t="s">
        <v>149</v>
      </c>
      <c r="D28" s="22" t="s">
        <v>150</v>
      </c>
      <c r="E28" t="s">
        <v>197</v>
      </c>
      <c r="F28" s="22">
        <v>120524</v>
      </c>
      <c r="G28" s="25" t="s">
        <v>198</v>
      </c>
      <c r="H28" s="142">
        <f>Tabel2[[#This Row],[pnt t/m 2021/22]]+Tabel2[[#This Row],[pnt 2022/2023]]</f>
        <v>590.72727272727275</v>
      </c>
      <c r="I28">
        <v>2012</v>
      </c>
      <c r="J28">
        <v>2022</v>
      </c>
      <c r="K28" s="24">
        <f>Tabel2[[#This Row],[ijkdatum]]-Tabel2[[#This Row],[Geboren]]</f>
        <v>10</v>
      </c>
      <c r="L28" s="26">
        <f>Tabel2[[#This Row],[TTL 1]]+Tabel2[[#This Row],[TTL 2]]+Tabel2[[#This Row],[TTL 3]]+Tabel2[[#This Row],[TTL 4]]+Tabel2[[#This Row],[TTL 5]]+Tabel2[[#This Row],[TTL 6]]+Tabel2[[#This Row],[TTL 7]]+Tabel2[[#This Row],[TTL 8]]+Tabel2[[#This Row],[TTL 9]]+Tabel2[[#This Row],[TTL 10]]</f>
        <v>180.72727272727275</v>
      </c>
      <c r="M28" s="153">
        <v>410</v>
      </c>
      <c r="N28">
        <v>4</v>
      </c>
      <c r="O28">
        <v>10</v>
      </c>
      <c r="P28">
        <v>1</v>
      </c>
      <c r="Q28">
        <v>23</v>
      </c>
      <c r="S28" s="153">
        <f>SUM(Tabel2[[#This Row],[V 1]]*10+Tabel2[[#This Row],[GT 1]])/Tabel2[[#This Row],[AW 1]]*10+Tabel2[[#This Row],[BONUS 1]]</f>
        <v>33</v>
      </c>
      <c r="T28">
        <v>3</v>
      </c>
      <c r="U28">
        <v>10</v>
      </c>
      <c r="V28">
        <v>2</v>
      </c>
      <c r="W28">
        <v>35</v>
      </c>
      <c r="Y28" s="153">
        <f>SUM(Tabel2[[#This Row],[V 2]]*10+Tabel2[[#This Row],[GT 2]])/Tabel2[[#This Row],[AW 2]]*10+Tabel2[[#This Row],[BONUS 2]]</f>
        <v>55</v>
      </c>
      <c r="Z28">
        <v>3</v>
      </c>
      <c r="AA28">
        <v>11</v>
      </c>
      <c r="AB28">
        <v>6</v>
      </c>
      <c r="AC28">
        <v>42</v>
      </c>
      <c r="AE28" s="23">
        <f>SUM(Tabel2[[#This Row],[V 3]]*10+Tabel2[[#This Row],[GT 3]])/Tabel2[[#This Row],[AW 3]]*10+Tabel2[[#This Row],[BONUS 3]]</f>
        <v>92.727272727272734</v>
      </c>
      <c r="AG28">
        <v>1</v>
      </c>
      <c r="AK28" s="153">
        <f>SUM(Tabel2[[#This Row],[V 4]]*10+Tabel2[[#This Row],[GT 4]])/Tabel2[[#This Row],[AW 4]]*10+Tabel2[[#This Row],[BONUS 4]]</f>
        <v>0</v>
      </c>
      <c r="AM28">
        <v>1</v>
      </c>
      <c r="AQ28" s="153">
        <f>SUM(Tabel2[[#This Row],[V 5]]*10+Tabel2[[#This Row],[GT 5]])/Tabel2[[#This Row],[AW 5]]*10+Tabel2[[#This Row],[BONUS 5]]</f>
        <v>0</v>
      </c>
      <c r="AS28">
        <v>1</v>
      </c>
      <c r="AW28" s="153">
        <f>SUM(Tabel2[[#This Row],[V 6]]*10+Tabel2[[#This Row],[GT 6]])/Tabel2[[#This Row],[AW 6]]*10+Tabel2[[#This Row],[BONUS 6]]</f>
        <v>0</v>
      </c>
      <c r="AY28">
        <v>1</v>
      </c>
      <c r="BC28" s="23">
        <f>SUM(Tabel2[[#This Row],[V 7]]*10+Tabel2[[#This Row],[GT 7]])/Tabel2[[#This Row],[AW 7]]*10+Tabel2[[#This Row],[BONUS 7]]</f>
        <v>0</v>
      </c>
      <c r="BE28">
        <v>1</v>
      </c>
      <c r="BI28" s="153">
        <f>SUM(Tabel2[[#This Row],[V 8]]*10+Tabel2[[#This Row],[GT 8]])/Tabel2[[#This Row],[AW 8]]*10+Tabel2[[#This Row],[BONUS 8]]</f>
        <v>0</v>
      </c>
      <c r="BK28">
        <v>1</v>
      </c>
      <c r="BO28" s="153">
        <f>SUM(Tabel2[[#This Row],[V 9]]*10+Tabel2[[#This Row],[GT 9]])/Tabel2[[#This Row],[AW 9]]*10+Tabel2[[#This Row],[BONUS 9]]</f>
        <v>0</v>
      </c>
      <c r="BQ28">
        <v>1</v>
      </c>
      <c r="BU28" s="23">
        <f>SUM(Tabel2[[#This Row],[V 10]]*10+Tabel2[[#This Row],[GT 10]])/Tabel2[[#This Row],[AW 10]]*10+Tabel2[[#This Row],[BONUS 10]]</f>
        <v>0</v>
      </c>
      <c r="BV28" s="22"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8" s="22">
        <v>250</v>
      </c>
      <c r="BX28" s="22">
        <f>Tabel2[[#This Row],[Diploma]]-Tabel2[[#This Row],[Uitgeschreven]]</f>
        <v>250</v>
      </c>
      <c r="BY28" s="155" t="str">
        <f t="shared" si="0"/>
        <v>diploma uitschrijven: 500 punten</v>
      </c>
      <c r="CA28" s="150">
        <f>Tabel2[[#This Row],[pnt t/m 2021/22]]</f>
        <v>410</v>
      </c>
      <c r="CB28" s="150">
        <f>Tabel2[[#This Row],[pnt 2022/2023]]</f>
        <v>180.72727272727275</v>
      </c>
      <c r="CC28" s="150">
        <f t="shared" si="6"/>
        <v>590.72727272727275</v>
      </c>
      <c r="CD28" s="150">
        <f>IF(Tabel2[[#This Row],[LPR 1]]&gt;0,1,0)</f>
        <v>1</v>
      </c>
      <c r="CE28" s="150">
        <f>IF(Tabel2[[#This Row],[LPR 2]]&gt;0,1,0)</f>
        <v>1</v>
      </c>
      <c r="CF28" s="150">
        <f>IF(Tabel2[[#This Row],[LPR 3]]&gt;0,1,0)</f>
        <v>1</v>
      </c>
      <c r="CG28" s="150">
        <f>IF(Tabel2[[#This Row],[LPR 4]]&gt;0,1,0)</f>
        <v>0</v>
      </c>
      <c r="CH28" s="150">
        <f>IF(Tabel2[[#This Row],[LPR 5]]&gt;0,1,0)</f>
        <v>0</v>
      </c>
      <c r="CI28" s="150">
        <f>IF(Tabel2[[#This Row],[LPR 6]]&gt;0,1,0)</f>
        <v>0</v>
      </c>
      <c r="CJ28" s="150">
        <f>IF(Tabel2[[#This Row],[LPR 7]]&gt;0,1,0)</f>
        <v>0</v>
      </c>
      <c r="CK28" s="150">
        <f>IF(Tabel2[[#This Row],[LPR 8]]&gt;0,1,0)</f>
        <v>0</v>
      </c>
      <c r="CL28" s="150">
        <f>IF(Tabel2[[#This Row],[LPR 9]]&gt;0,1,0)</f>
        <v>0</v>
      </c>
      <c r="CM28" s="150">
        <f>IF(Tabel2[[#This Row],[LPR 10]]&gt;0,1,0)</f>
        <v>0</v>
      </c>
      <c r="CN28" s="150">
        <f>SUM(Tabel7[[#This Row],[sep]:[jun]])</f>
        <v>3</v>
      </c>
      <c r="CO28" s="22" t="str">
        <f t="shared" si="1"/>
        <v/>
      </c>
      <c r="CP28" s="22" t="str">
        <f t="shared" si="2"/>
        <v/>
      </c>
      <c r="CQ28" s="22" t="str">
        <f t="shared" si="3"/>
        <v/>
      </c>
      <c r="CR28" s="22" t="str">
        <f t="shared" si="4"/>
        <v/>
      </c>
      <c r="CS28" s="22" t="str">
        <f t="shared" si="5"/>
        <v/>
      </c>
    </row>
    <row r="29" spans="1:97" x14ac:dyDescent="0.3">
      <c r="A29" s="22" t="s">
        <v>153</v>
      </c>
      <c r="B29" s="22" t="s">
        <v>149</v>
      </c>
      <c r="D29" s="22" t="s">
        <v>160</v>
      </c>
      <c r="E29" t="s">
        <v>199</v>
      </c>
      <c r="F29" s="22">
        <v>119706</v>
      </c>
      <c r="G29" s="25" t="s">
        <v>171</v>
      </c>
      <c r="H29" s="142">
        <f>Tabel2[[#This Row],[pnt t/m 2021/22]]+Tabel2[[#This Row],[pnt 2022/2023]]</f>
        <v>906.80158730158735</v>
      </c>
      <c r="I29">
        <v>2012</v>
      </c>
      <c r="J29">
        <v>2022</v>
      </c>
      <c r="K29" s="24">
        <f>Tabel2[[#This Row],[ijkdatum]]-Tabel2[[#This Row],[Geboren]]</f>
        <v>10</v>
      </c>
      <c r="L29" s="26">
        <f>Tabel2[[#This Row],[TTL 1]]+Tabel2[[#This Row],[TTL 2]]+Tabel2[[#This Row],[TTL 3]]+Tabel2[[#This Row],[TTL 4]]+Tabel2[[#This Row],[TTL 5]]+Tabel2[[#This Row],[TTL 6]]+Tabel2[[#This Row],[TTL 7]]+Tabel2[[#This Row],[TTL 8]]+Tabel2[[#This Row],[TTL 9]]+Tabel2[[#This Row],[TTL 10]]</f>
        <v>128.57142857142856</v>
      </c>
      <c r="M29" s="141">
        <v>778.23015873015879</v>
      </c>
      <c r="O29">
        <v>1</v>
      </c>
      <c r="S29" s="23">
        <f>SUM(Tabel2[[#This Row],[V 1]]*10+Tabel2[[#This Row],[GT 1]])/Tabel2[[#This Row],[AW 1]]*10+Tabel2[[#This Row],[BONUS 1]]</f>
        <v>0</v>
      </c>
      <c r="T29">
        <v>7</v>
      </c>
      <c r="U29">
        <v>7</v>
      </c>
      <c r="V29">
        <v>3</v>
      </c>
      <c r="W29">
        <v>18</v>
      </c>
      <c r="Y29" s="23">
        <f>SUM(Tabel2[[#This Row],[V 2]]*10+Tabel2[[#This Row],[GT 2]])/Tabel2[[#This Row],[AW 2]]*10+Tabel2[[#This Row],[BONUS 2]]</f>
        <v>68.571428571428569</v>
      </c>
      <c r="Z29">
        <v>8</v>
      </c>
      <c r="AA29">
        <v>4</v>
      </c>
      <c r="AB29">
        <v>1</v>
      </c>
      <c r="AC29">
        <v>14</v>
      </c>
      <c r="AE29" s="23">
        <f>SUM(Tabel2[[#This Row],[V 3]]*10+Tabel2[[#This Row],[GT 3]])/Tabel2[[#This Row],[AW 3]]*10+Tabel2[[#This Row],[BONUS 3]]</f>
        <v>60</v>
      </c>
      <c r="AG29">
        <v>1</v>
      </c>
      <c r="AK29" s="23">
        <f>SUM(Tabel2[[#This Row],[V 4]]*10+Tabel2[[#This Row],[GT 4]])/Tabel2[[#This Row],[AW 4]]*10+Tabel2[[#This Row],[BONUS 4]]</f>
        <v>0</v>
      </c>
      <c r="AM29">
        <v>1</v>
      </c>
      <c r="AQ29" s="23">
        <f>SUM(Tabel2[[#This Row],[V 5]]*10+Tabel2[[#This Row],[GT 5]])/Tabel2[[#This Row],[AW 5]]*10+Tabel2[[#This Row],[BONUS 5]]</f>
        <v>0</v>
      </c>
      <c r="AS29">
        <v>1</v>
      </c>
      <c r="AW29" s="23">
        <f>SUM(Tabel2[[#This Row],[V 6]]*10+Tabel2[[#This Row],[GT 6]])/Tabel2[[#This Row],[AW 6]]*10+Tabel2[[#This Row],[BONUS 6]]</f>
        <v>0</v>
      </c>
      <c r="AY29">
        <v>1</v>
      </c>
      <c r="BC29" s="23">
        <f>SUM(Tabel2[[#This Row],[V 7]]*10+Tabel2[[#This Row],[GT 7]])/Tabel2[[#This Row],[AW 7]]*10+Tabel2[[#This Row],[BONUS 7]]</f>
        <v>0</v>
      </c>
      <c r="BE29">
        <v>1</v>
      </c>
      <c r="BI29" s="23">
        <f>SUM(Tabel2[[#This Row],[V 8]]*10+Tabel2[[#This Row],[GT 8]])/Tabel2[[#This Row],[AW 8]]*10+Tabel2[[#This Row],[BONUS 8]]</f>
        <v>0</v>
      </c>
      <c r="BK29">
        <v>1</v>
      </c>
      <c r="BO29" s="23">
        <f>SUM(Tabel2[[#This Row],[V 9]]*10+Tabel2[[#This Row],[GT 9]])/Tabel2[[#This Row],[AW 9]]*10+Tabel2[[#This Row],[BONUS 9]]</f>
        <v>0</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9" s="22">
        <v>750</v>
      </c>
      <c r="BX29" s="30">
        <f>Tabel2[[#This Row],[Diploma]]-Tabel2[[#This Row],[Uitgeschreven]]</f>
        <v>0</v>
      </c>
      <c r="BY29" s="2" t="str">
        <f t="shared" si="0"/>
        <v>geen actie</v>
      </c>
      <c r="CA29" s="150">
        <f>Tabel2[[#This Row],[pnt t/m 2021/22]]</f>
        <v>778.23015873015879</v>
      </c>
      <c r="CB29" s="150">
        <f>Tabel2[[#This Row],[pnt 2022/2023]]</f>
        <v>128.57142857142856</v>
      </c>
      <c r="CC29" s="150">
        <f t="shared" si="6"/>
        <v>906.80158730158735</v>
      </c>
      <c r="CD29" s="150">
        <f>IF(Tabel2[[#This Row],[LPR 1]]&gt;0,1,0)</f>
        <v>0</v>
      </c>
      <c r="CE29" s="150">
        <f>IF(Tabel2[[#This Row],[LPR 2]]&gt;0,1,0)</f>
        <v>1</v>
      </c>
      <c r="CF29" s="150">
        <f>IF(Tabel2[[#This Row],[LPR 3]]&gt;0,1,0)</f>
        <v>1</v>
      </c>
      <c r="CG29" s="150">
        <f>IF(Tabel2[[#This Row],[LPR 4]]&gt;0,1,0)</f>
        <v>0</v>
      </c>
      <c r="CH29" s="150">
        <f>IF(Tabel2[[#This Row],[LPR 5]]&gt;0,1,0)</f>
        <v>0</v>
      </c>
      <c r="CI29" s="150">
        <f>IF(Tabel2[[#This Row],[LPR 6]]&gt;0,1,0)</f>
        <v>0</v>
      </c>
      <c r="CJ29" s="150">
        <f>IF(Tabel2[[#This Row],[LPR 7]]&gt;0,1,0)</f>
        <v>0</v>
      </c>
      <c r="CK29" s="150">
        <f>IF(Tabel2[[#This Row],[LPR 8]]&gt;0,1,0)</f>
        <v>0</v>
      </c>
      <c r="CL29" s="150">
        <f>IF(Tabel2[[#This Row],[LPR 9]]&gt;0,1,0)</f>
        <v>0</v>
      </c>
      <c r="CM29" s="150">
        <f>IF(Tabel2[[#This Row],[LPR 10]]&gt;0,1,0)</f>
        <v>0</v>
      </c>
      <c r="CN29" s="150">
        <f>SUM(Tabel7[[#This Row],[sep]:[jun]])</f>
        <v>2</v>
      </c>
      <c r="CO29" s="22" t="str">
        <f t="shared" si="1"/>
        <v/>
      </c>
      <c r="CP29" s="22" t="str">
        <f t="shared" si="2"/>
        <v/>
      </c>
      <c r="CQ29" s="22" t="str">
        <f t="shared" si="3"/>
        <v/>
      </c>
      <c r="CR29" s="22" t="str">
        <f t="shared" si="4"/>
        <v/>
      </c>
      <c r="CS29" s="22" t="str">
        <f t="shared" si="5"/>
        <v/>
      </c>
    </row>
    <row r="30" spans="1:97" x14ac:dyDescent="0.3">
      <c r="A30" s="22" t="s">
        <v>156</v>
      </c>
      <c r="B30" s="22" t="s">
        <v>157</v>
      </c>
      <c r="D30" s="22" t="s">
        <v>163</v>
      </c>
      <c r="E30" t="s">
        <v>200</v>
      </c>
      <c r="F30" s="22">
        <v>120160</v>
      </c>
      <c r="G30" s="25" t="s">
        <v>201</v>
      </c>
      <c r="H30" s="23">
        <f>Tabel2[[#This Row],[pnt t/m 2021/22]]+Tabel2[[#This Row],[pnt 2022/2023]]</f>
        <v>253.75</v>
      </c>
      <c r="I30">
        <v>2008</v>
      </c>
      <c r="J30">
        <v>2022</v>
      </c>
      <c r="K30" s="24">
        <f>Tabel2[[#This Row],[ijkdatum]]-Tabel2[[#This Row],[Geboren]]</f>
        <v>14</v>
      </c>
      <c r="L30" s="26">
        <f>Tabel2[[#This Row],[TTL 1]]+Tabel2[[#This Row],[TTL 2]]+Tabel2[[#This Row],[TTL 3]]+Tabel2[[#This Row],[TTL 4]]+Tabel2[[#This Row],[TTL 5]]+Tabel2[[#This Row],[TTL 6]]+Tabel2[[#This Row],[TTL 7]]+Tabel2[[#This Row],[TTL 8]]+Tabel2[[#This Row],[TTL 9]]+Tabel2[[#This Row],[TTL 10]]</f>
        <v>0</v>
      </c>
      <c r="M30" s="153">
        <v>253.75</v>
      </c>
      <c r="O30">
        <v>1</v>
      </c>
      <c r="S30" s="153">
        <f>SUM(Tabel2[[#This Row],[V 1]]*10+Tabel2[[#This Row],[GT 1]])/Tabel2[[#This Row],[AW 1]]*10+Tabel2[[#This Row],[BONUS 1]]</f>
        <v>0</v>
      </c>
      <c r="U30">
        <v>1</v>
      </c>
      <c r="Y30" s="153">
        <f>SUM(Tabel2[[#This Row],[V 2]]*10+Tabel2[[#This Row],[GT 2]])/Tabel2[[#This Row],[AW 2]]*10+Tabel2[[#This Row],[BONUS 2]]</f>
        <v>0</v>
      </c>
      <c r="AA30">
        <v>1</v>
      </c>
      <c r="AE30" s="153">
        <f>SUM(Tabel2[[#This Row],[V 3]]*10+Tabel2[[#This Row],[GT 3]])/Tabel2[[#This Row],[AW 3]]*10+Tabel2[[#This Row],[BONUS 3]]</f>
        <v>0</v>
      </c>
      <c r="AG30">
        <v>1</v>
      </c>
      <c r="AK30" s="153">
        <f>SUM(Tabel2[[#This Row],[V 4]]*10+Tabel2[[#This Row],[GT 4]])/Tabel2[[#This Row],[AW 4]]*10+Tabel2[[#This Row],[BONUS 4]]</f>
        <v>0</v>
      </c>
      <c r="AM30">
        <v>1</v>
      </c>
      <c r="AQ30" s="153">
        <f>SUM(Tabel2[[#This Row],[V 5]]*10+Tabel2[[#This Row],[GT 5]])/Tabel2[[#This Row],[AW 5]]*10+Tabel2[[#This Row],[BONUS 5]]</f>
        <v>0</v>
      </c>
      <c r="AS30">
        <v>1</v>
      </c>
      <c r="AW30" s="153">
        <f>SUM(Tabel2[[#This Row],[V 6]]*10+Tabel2[[#This Row],[GT 6]])/Tabel2[[#This Row],[AW 6]]*10+Tabel2[[#This Row],[BONUS 6]]</f>
        <v>0</v>
      </c>
      <c r="AY30">
        <v>1</v>
      </c>
      <c r="BC30" s="153">
        <f>SUM(Tabel2[[#This Row],[V 7]]*10+Tabel2[[#This Row],[GT 7]])/Tabel2[[#This Row],[AW 7]]*10+Tabel2[[#This Row],[BONUS 7]]</f>
        <v>0</v>
      </c>
      <c r="BE30">
        <v>1</v>
      </c>
      <c r="BI30" s="153">
        <f>SUM(Tabel2[[#This Row],[V 8]]*10+Tabel2[[#This Row],[GT 8]])/Tabel2[[#This Row],[AW 8]]*10+Tabel2[[#This Row],[BONUS 8]]</f>
        <v>0</v>
      </c>
      <c r="BK30">
        <v>1</v>
      </c>
      <c r="BO30" s="153">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0" s="22">
        <v>250</v>
      </c>
      <c r="BX30" s="22">
        <f>Tabel2[[#This Row],[Diploma]]-Tabel2[[#This Row],[Uitgeschreven]]</f>
        <v>0</v>
      </c>
      <c r="BY30" s="155" t="str">
        <f t="shared" si="0"/>
        <v>geen actie</v>
      </c>
      <c r="CA30" s="150">
        <f>Tabel2[[#This Row],[pnt t/m 2021/22]]</f>
        <v>253.75</v>
      </c>
      <c r="CB30" s="150">
        <f>Tabel2[[#This Row],[pnt 2022/2023]]</f>
        <v>0</v>
      </c>
      <c r="CC30" s="150">
        <f t="shared" si="6"/>
        <v>253.75</v>
      </c>
      <c r="CD30" s="150">
        <f>IF(Tabel2[[#This Row],[LPR 1]]&gt;0,1,0)</f>
        <v>0</v>
      </c>
      <c r="CE30" s="150">
        <f>IF(Tabel2[[#This Row],[LPR 2]]&gt;0,1,0)</f>
        <v>0</v>
      </c>
      <c r="CF30" s="150">
        <f>IF(Tabel2[[#This Row],[LPR 3]]&gt;0,1,0)</f>
        <v>0</v>
      </c>
      <c r="CG30" s="150">
        <f>IF(Tabel2[[#This Row],[LPR 4]]&gt;0,1,0)</f>
        <v>0</v>
      </c>
      <c r="CH30" s="150">
        <f>IF(Tabel2[[#This Row],[LPR 5]]&gt;0,1,0)</f>
        <v>0</v>
      </c>
      <c r="CI30" s="150">
        <f>IF(Tabel2[[#This Row],[LPR 6]]&gt;0,1,0)</f>
        <v>0</v>
      </c>
      <c r="CJ30" s="150">
        <f>IF(Tabel2[[#This Row],[LPR 7]]&gt;0,1,0)</f>
        <v>0</v>
      </c>
      <c r="CK30" s="150">
        <f>IF(Tabel2[[#This Row],[LPR 8]]&gt;0,1,0)</f>
        <v>0</v>
      </c>
      <c r="CL30" s="150">
        <f>IF(Tabel2[[#This Row],[LPR 9]]&gt;0,1,0)</f>
        <v>0</v>
      </c>
      <c r="CM30" s="150">
        <f>IF(Tabel2[[#This Row],[LPR 10]]&gt;0,1,0)</f>
        <v>0</v>
      </c>
      <c r="CN30" s="150">
        <f>SUM(Tabel7[[#This Row],[sep]:[jun]])</f>
        <v>0</v>
      </c>
      <c r="CO30" s="22" t="str">
        <f t="shared" si="1"/>
        <v/>
      </c>
      <c r="CP30" s="22" t="str">
        <f t="shared" si="2"/>
        <v/>
      </c>
      <c r="CQ30" s="22" t="str">
        <f t="shared" si="3"/>
        <v/>
      </c>
      <c r="CR30" s="22" t="str">
        <f t="shared" si="4"/>
        <v/>
      </c>
      <c r="CS30" s="22" t="str">
        <f t="shared" si="5"/>
        <v/>
      </c>
    </row>
    <row r="31" spans="1:97" x14ac:dyDescent="0.3">
      <c r="A31" s="22" t="s">
        <v>173</v>
      </c>
      <c r="B31" s="22" t="s">
        <v>149</v>
      </c>
      <c r="D31" s="22" t="s">
        <v>163</v>
      </c>
      <c r="E31" t="s">
        <v>202</v>
      </c>
      <c r="F31" s="22">
        <v>119915</v>
      </c>
      <c r="G31" s="25" t="s">
        <v>203</v>
      </c>
      <c r="H31" s="23">
        <f>Tabel2[[#This Row],[pnt t/m 2021/22]]+Tabel2[[#This Row],[pnt 2022/2023]]</f>
        <v>419.16017316017314</v>
      </c>
      <c r="I31">
        <v>2011</v>
      </c>
      <c r="J31">
        <v>2022</v>
      </c>
      <c r="K31" s="24">
        <f>Tabel2[[#This Row],[ijkdatum]]-Tabel2[[#This Row],[Geboren]]</f>
        <v>11</v>
      </c>
      <c r="L31" s="26">
        <f>Tabel2[[#This Row],[TTL 1]]+Tabel2[[#This Row],[TTL 2]]+Tabel2[[#This Row],[TTL 3]]+Tabel2[[#This Row],[TTL 4]]+Tabel2[[#This Row],[TTL 5]]+Tabel2[[#This Row],[TTL 6]]+Tabel2[[#This Row],[TTL 7]]+Tabel2[[#This Row],[TTL 8]]+Tabel2[[#This Row],[TTL 9]]+Tabel2[[#This Row],[TTL 10]]</f>
        <v>0</v>
      </c>
      <c r="M31" s="153">
        <v>419.16017316017314</v>
      </c>
      <c r="O31">
        <v>1</v>
      </c>
      <c r="S31" s="153">
        <f>SUM(Tabel2[[#This Row],[V 1]]*10+Tabel2[[#This Row],[GT 1]])/Tabel2[[#This Row],[AW 1]]*10+Tabel2[[#This Row],[BONUS 1]]</f>
        <v>0</v>
      </c>
      <c r="U31">
        <v>1</v>
      </c>
      <c r="Y31" s="23">
        <f>SUM(Tabel2[[#This Row],[V 2]]*10+Tabel2[[#This Row],[GT 2]])/Tabel2[[#This Row],[AW 2]]*10+Tabel2[[#This Row],[BONUS 2]]</f>
        <v>0</v>
      </c>
      <c r="AA31">
        <v>1</v>
      </c>
      <c r="AE31" s="23">
        <f>SUM(Tabel2[[#This Row],[V 3]]*10+Tabel2[[#This Row],[GT 3]])/Tabel2[[#This Row],[AW 3]]*10+Tabel2[[#This Row],[BONUS 3]]</f>
        <v>0</v>
      </c>
      <c r="AG31">
        <v>1</v>
      </c>
      <c r="AK31" s="23">
        <f>SUM(Tabel2[[#This Row],[V 4]]*10+Tabel2[[#This Row],[GT 4]])/Tabel2[[#This Row],[AW 4]]*10+Tabel2[[#This Row],[BONUS 4]]</f>
        <v>0</v>
      </c>
      <c r="AM31">
        <v>1</v>
      </c>
      <c r="AQ31" s="23">
        <f>SUM(Tabel2[[#This Row],[V 5]]*10+Tabel2[[#This Row],[GT 5]])/Tabel2[[#This Row],[AW 5]]*10+Tabel2[[#This Row],[BONUS 5]]</f>
        <v>0</v>
      </c>
      <c r="AS31">
        <v>1</v>
      </c>
      <c r="AW31" s="23">
        <f>SUM(Tabel2[[#This Row],[V 6]]*10+Tabel2[[#This Row],[GT 6]])/Tabel2[[#This Row],[AW 6]]*10+Tabel2[[#This Row],[BONUS 6]]</f>
        <v>0</v>
      </c>
      <c r="AY31">
        <v>1</v>
      </c>
      <c r="BC31" s="23">
        <f>SUM(Tabel2[[#This Row],[V 7]]*10+Tabel2[[#This Row],[GT 7]])/Tabel2[[#This Row],[AW 7]]*10+Tabel2[[#This Row],[BONUS 7]]</f>
        <v>0</v>
      </c>
      <c r="BE31">
        <v>1</v>
      </c>
      <c r="BI31" s="23">
        <f>SUM(Tabel2[[#This Row],[V 8]]*10+Tabel2[[#This Row],[GT 8]])/Tabel2[[#This Row],[AW 8]]*10+Tabel2[[#This Row],[BONUS 8]]</f>
        <v>0</v>
      </c>
      <c r="BK31">
        <v>1</v>
      </c>
      <c r="BO31" s="23">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1" s="22">
        <v>250</v>
      </c>
      <c r="BX31" s="22">
        <f>Tabel2[[#This Row],[Diploma]]-Tabel2[[#This Row],[Uitgeschreven]]</f>
        <v>0</v>
      </c>
      <c r="BY31" s="155" t="str">
        <f t="shared" si="0"/>
        <v>geen actie</v>
      </c>
      <c r="CA31" s="150">
        <f>Tabel2[[#This Row],[pnt t/m 2021/22]]</f>
        <v>419.16017316017314</v>
      </c>
      <c r="CB31" s="150">
        <f>Tabel2[[#This Row],[pnt 2022/2023]]</f>
        <v>0</v>
      </c>
      <c r="CC31" s="150">
        <f t="shared" si="6"/>
        <v>419.16017316017314</v>
      </c>
      <c r="CD31" s="150">
        <f>IF(Tabel2[[#This Row],[LPR 1]]&gt;0,1,0)</f>
        <v>0</v>
      </c>
      <c r="CE31" s="150">
        <f>IF(Tabel2[[#This Row],[LPR 2]]&gt;0,1,0)</f>
        <v>0</v>
      </c>
      <c r="CF31" s="150">
        <f>IF(Tabel2[[#This Row],[LPR 3]]&gt;0,1,0)</f>
        <v>0</v>
      </c>
      <c r="CG31" s="150">
        <f>IF(Tabel2[[#This Row],[LPR 4]]&gt;0,1,0)</f>
        <v>0</v>
      </c>
      <c r="CH31" s="150">
        <f>IF(Tabel2[[#This Row],[LPR 5]]&gt;0,1,0)</f>
        <v>0</v>
      </c>
      <c r="CI31" s="150">
        <f>IF(Tabel2[[#This Row],[LPR 6]]&gt;0,1,0)</f>
        <v>0</v>
      </c>
      <c r="CJ31" s="150">
        <f>IF(Tabel2[[#This Row],[LPR 7]]&gt;0,1,0)</f>
        <v>0</v>
      </c>
      <c r="CK31" s="150">
        <f>IF(Tabel2[[#This Row],[LPR 8]]&gt;0,1,0)</f>
        <v>0</v>
      </c>
      <c r="CL31" s="150">
        <f>IF(Tabel2[[#This Row],[LPR 9]]&gt;0,1,0)</f>
        <v>0</v>
      </c>
      <c r="CM31" s="150">
        <f>IF(Tabel2[[#This Row],[LPR 10]]&gt;0,1,0)</f>
        <v>0</v>
      </c>
      <c r="CN31" s="150">
        <f>SUM(Tabel7[[#This Row],[sep]:[jun]])</f>
        <v>0</v>
      </c>
      <c r="CO31" s="22" t="str">
        <f t="shared" si="1"/>
        <v/>
      </c>
      <c r="CP31" s="22" t="str">
        <f t="shared" si="2"/>
        <v/>
      </c>
      <c r="CQ31" s="22" t="str">
        <f t="shared" si="3"/>
        <v/>
      </c>
      <c r="CR31" s="22" t="str">
        <f t="shared" si="4"/>
        <v/>
      </c>
      <c r="CS31" s="22" t="str">
        <f t="shared" si="5"/>
        <v/>
      </c>
    </row>
    <row r="32" spans="1:97" x14ac:dyDescent="0.3">
      <c r="A32" s="22" t="s">
        <v>190</v>
      </c>
      <c r="B32" s="22" t="s">
        <v>149</v>
      </c>
      <c r="D32" s="22" t="s">
        <v>163</v>
      </c>
      <c r="E32" t="s">
        <v>204</v>
      </c>
      <c r="F32" s="22">
        <v>120187</v>
      </c>
      <c r="G32" s="25" t="s">
        <v>167</v>
      </c>
      <c r="H32" s="23">
        <f>Tabel2[[#This Row],[pnt t/m 2021/22]]+Tabel2[[#This Row],[pnt 2022/2023]]</f>
        <v>87.5</v>
      </c>
      <c r="I32">
        <v>2014</v>
      </c>
      <c r="J32">
        <v>2022</v>
      </c>
      <c r="K32" s="24">
        <f>Tabel2[[#This Row],[ijkdatum]]-Tabel2[[#This Row],[Geboren]]</f>
        <v>8</v>
      </c>
      <c r="L32" s="26">
        <f>Tabel2[[#This Row],[TTL 1]]+Tabel2[[#This Row],[TTL 2]]+Tabel2[[#This Row],[TTL 3]]+Tabel2[[#This Row],[TTL 4]]+Tabel2[[#This Row],[TTL 5]]+Tabel2[[#This Row],[TTL 6]]+Tabel2[[#This Row],[TTL 7]]+Tabel2[[#This Row],[TTL 8]]+Tabel2[[#This Row],[TTL 9]]+Tabel2[[#This Row],[TTL 10]]</f>
        <v>0</v>
      </c>
      <c r="M32" s="153">
        <v>87.5</v>
      </c>
      <c r="O32">
        <v>1</v>
      </c>
      <c r="S32" s="153">
        <f>SUM(Tabel2[[#This Row],[V 1]]*10+Tabel2[[#This Row],[GT 1]])/Tabel2[[#This Row],[AW 1]]*10+Tabel2[[#This Row],[BONUS 1]]</f>
        <v>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2">
        <v>0</v>
      </c>
      <c r="BX32" s="22">
        <f>Tabel2[[#This Row],[Diploma]]-Tabel2[[#This Row],[Uitgeschreven]]</f>
        <v>0</v>
      </c>
      <c r="BY32" s="155" t="str">
        <f t="shared" si="0"/>
        <v>geen actie</v>
      </c>
      <c r="CA32" s="150">
        <f>Tabel2[[#This Row],[pnt t/m 2021/22]]</f>
        <v>87.5</v>
      </c>
      <c r="CB32" s="150">
        <f>Tabel2[[#This Row],[pnt 2022/2023]]</f>
        <v>0</v>
      </c>
      <c r="CC32" s="150">
        <f t="shared" si="6"/>
        <v>87.5</v>
      </c>
      <c r="CD32" s="150">
        <f>IF(Tabel2[[#This Row],[LPR 1]]&gt;0,1,0)</f>
        <v>0</v>
      </c>
      <c r="CE32" s="150">
        <f>IF(Tabel2[[#This Row],[LPR 2]]&gt;0,1,0)</f>
        <v>0</v>
      </c>
      <c r="CF32" s="150">
        <f>IF(Tabel2[[#This Row],[LPR 3]]&gt;0,1,0)</f>
        <v>0</v>
      </c>
      <c r="CG32" s="150">
        <f>IF(Tabel2[[#This Row],[LPR 4]]&gt;0,1,0)</f>
        <v>0</v>
      </c>
      <c r="CH32" s="150">
        <f>IF(Tabel2[[#This Row],[LPR 5]]&gt;0,1,0)</f>
        <v>0</v>
      </c>
      <c r="CI32" s="150">
        <f>IF(Tabel2[[#This Row],[LPR 6]]&gt;0,1,0)</f>
        <v>0</v>
      </c>
      <c r="CJ32" s="150">
        <f>IF(Tabel2[[#This Row],[LPR 7]]&gt;0,1,0)</f>
        <v>0</v>
      </c>
      <c r="CK32" s="150">
        <f>IF(Tabel2[[#This Row],[LPR 8]]&gt;0,1,0)</f>
        <v>0</v>
      </c>
      <c r="CL32" s="150">
        <f>IF(Tabel2[[#This Row],[LPR 9]]&gt;0,1,0)</f>
        <v>0</v>
      </c>
      <c r="CM32" s="150">
        <f>IF(Tabel2[[#This Row],[LPR 10]]&gt;0,1,0)</f>
        <v>0</v>
      </c>
      <c r="CN32" s="150">
        <f>SUM(Tabel7[[#This Row],[sep]:[jun]])</f>
        <v>0</v>
      </c>
      <c r="CO32" s="22" t="str">
        <f t="shared" si="1"/>
        <v/>
      </c>
      <c r="CP32" s="22" t="str">
        <f t="shared" si="2"/>
        <v/>
      </c>
      <c r="CQ32" s="22" t="str">
        <f t="shared" si="3"/>
        <v/>
      </c>
      <c r="CR32" s="22" t="str">
        <f t="shared" si="4"/>
        <v/>
      </c>
      <c r="CS32" s="22" t="str">
        <f t="shared" si="5"/>
        <v/>
      </c>
    </row>
    <row r="33" spans="1:97" x14ac:dyDescent="0.3">
      <c r="A33" s="22" t="s">
        <v>159</v>
      </c>
      <c r="B33" s="22" t="s">
        <v>149</v>
      </c>
      <c r="D33" s="22" t="s">
        <v>163</v>
      </c>
      <c r="E33" t="s">
        <v>205</v>
      </c>
      <c r="F33" s="22">
        <v>119326</v>
      </c>
      <c r="G33" s="25" t="s">
        <v>206</v>
      </c>
      <c r="H33" s="142">
        <f>Tabel2[[#This Row],[pnt t/m 2021/22]]+Tabel2[[#This Row],[pnt 2022/2023]]</f>
        <v>484.8989898989899</v>
      </c>
      <c r="I33">
        <v>2010</v>
      </c>
      <c r="J33">
        <v>2022</v>
      </c>
      <c r="K33" s="24">
        <f>Tabel2[[#This Row],[ijkdatum]]-Tabel2[[#This Row],[Geboren]]</f>
        <v>12</v>
      </c>
      <c r="L33" s="26">
        <f>Tabel2[[#This Row],[TTL 1]]+Tabel2[[#This Row],[TTL 2]]+Tabel2[[#This Row],[TTL 3]]+Tabel2[[#This Row],[TTL 4]]+Tabel2[[#This Row],[TTL 5]]+Tabel2[[#This Row],[TTL 6]]+Tabel2[[#This Row],[TTL 7]]+Tabel2[[#This Row],[TTL 8]]+Tabel2[[#This Row],[TTL 9]]+Tabel2[[#This Row],[TTL 10]]</f>
        <v>0</v>
      </c>
      <c r="M33" s="141">
        <v>484.8989898989899</v>
      </c>
      <c r="O33">
        <v>1</v>
      </c>
      <c r="S33" s="23">
        <f>SUM(Tabel2[[#This Row],[V 1]]*10+Tabel2[[#This Row],[GT 1]])/Tabel2[[#This Row],[AW 1]]*10+Tabel2[[#This Row],[BONUS 1]]</f>
        <v>0</v>
      </c>
      <c r="U33">
        <v>1</v>
      </c>
      <c r="Y33" s="23">
        <f>SUM(Tabel2[[#This Row],[V 2]]*10+Tabel2[[#This Row],[GT 2]])/Tabel2[[#This Row],[AW 2]]*10+Tabel2[[#This Row],[BONUS 2]]</f>
        <v>0</v>
      </c>
      <c r="AA33">
        <v>1</v>
      </c>
      <c r="AE33" s="23">
        <f>SUM(Tabel2[[#This Row],[V 3]]*10+Tabel2[[#This Row],[GT 3]])/Tabel2[[#This Row],[AW 3]]*10+Tabel2[[#This Row],[BONUS 3]]</f>
        <v>0</v>
      </c>
      <c r="AG33">
        <v>1</v>
      </c>
      <c r="AK33" s="23">
        <f>SUM(Tabel2[[#This Row],[V 4]]*10+Tabel2[[#This Row],[GT 4]])/Tabel2[[#This Row],[AW 4]]*10+Tabel2[[#This Row],[BONUS 4]]</f>
        <v>0</v>
      </c>
      <c r="AM33">
        <v>1</v>
      </c>
      <c r="AQ33" s="23">
        <f>SUM(Tabel2[[#This Row],[V 5]]*10+Tabel2[[#This Row],[GT 5]])/Tabel2[[#This Row],[AW 5]]*10+Tabel2[[#This Row],[BONUS 5]]</f>
        <v>0</v>
      </c>
      <c r="AS33">
        <v>1</v>
      </c>
      <c r="AW33" s="23">
        <f>SUM(Tabel2[[#This Row],[V 6]]*10+Tabel2[[#This Row],[GT 6]])/Tabel2[[#This Row],[AW 6]]*10+Tabel2[[#This Row],[BONUS 6]]</f>
        <v>0</v>
      </c>
      <c r="AY33">
        <v>1</v>
      </c>
      <c r="BC33" s="23">
        <f>SUM(Tabel2[[#This Row],[V 7]]*10+Tabel2[[#This Row],[GT 7]])/Tabel2[[#This Row],[AW 7]]*10+Tabel2[[#This Row],[BONUS 7]]</f>
        <v>0</v>
      </c>
      <c r="BE33">
        <v>1</v>
      </c>
      <c r="BI33" s="23">
        <f>SUM(Tabel2[[#This Row],[V 8]]*10+Tabel2[[#This Row],[GT 8]])/Tabel2[[#This Row],[AW 8]]*10+Tabel2[[#This Row],[BONUS 8]]</f>
        <v>0</v>
      </c>
      <c r="BK33">
        <v>1</v>
      </c>
      <c r="BO33" s="23">
        <f>SUM(Tabel2[[#This Row],[V 9]]*10+Tabel2[[#This Row],[GT 9]])/Tabel2[[#This Row],[AW 9]]*10+Tabel2[[#This Row],[BONUS 9]]</f>
        <v>0</v>
      </c>
      <c r="BQ33">
        <v>1</v>
      </c>
      <c r="BU33" s="23">
        <f>SUM(Tabel2[[#This Row],[V 10]]*10+Tabel2[[#This Row],[GT 10]])/Tabel2[[#This Row],[AW 10]]*10+Tabel2[[#This Row],[BONUS 10]]</f>
        <v>0</v>
      </c>
      <c r="BV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3" s="22">
        <v>250</v>
      </c>
      <c r="BX33" s="30">
        <f>Tabel2[[#This Row],[Diploma]]-Tabel2[[#This Row],[Uitgeschreven]]</f>
        <v>0</v>
      </c>
      <c r="BY33" s="2" t="str">
        <f t="shared" si="0"/>
        <v>geen actie</v>
      </c>
      <c r="CA33" s="150">
        <f>Tabel2[[#This Row],[pnt t/m 2021/22]]</f>
        <v>484.8989898989899</v>
      </c>
      <c r="CB33" s="150">
        <f>Tabel2[[#This Row],[pnt 2022/2023]]</f>
        <v>0</v>
      </c>
      <c r="CC33" s="150">
        <f t="shared" si="6"/>
        <v>484.8989898989899</v>
      </c>
      <c r="CD33" s="150">
        <f>IF(Tabel2[[#This Row],[LPR 1]]&gt;0,1,0)</f>
        <v>0</v>
      </c>
      <c r="CE33" s="150">
        <f>IF(Tabel2[[#This Row],[LPR 2]]&gt;0,1,0)</f>
        <v>0</v>
      </c>
      <c r="CF33" s="150">
        <f>IF(Tabel2[[#This Row],[LPR 3]]&gt;0,1,0)</f>
        <v>0</v>
      </c>
      <c r="CG33" s="150">
        <f>IF(Tabel2[[#This Row],[LPR 4]]&gt;0,1,0)</f>
        <v>0</v>
      </c>
      <c r="CH33" s="150">
        <f>IF(Tabel2[[#This Row],[LPR 5]]&gt;0,1,0)</f>
        <v>0</v>
      </c>
      <c r="CI33" s="150">
        <f>IF(Tabel2[[#This Row],[LPR 6]]&gt;0,1,0)</f>
        <v>0</v>
      </c>
      <c r="CJ33" s="150">
        <f>IF(Tabel2[[#This Row],[LPR 7]]&gt;0,1,0)</f>
        <v>0</v>
      </c>
      <c r="CK33" s="150">
        <f>IF(Tabel2[[#This Row],[LPR 8]]&gt;0,1,0)</f>
        <v>0</v>
      </c>
      <c r="CL33" s="150">
        <f>IF(Tabel2[[#This Row],[LPR 9]]&gt;0,1,0)</f>
        <v>0</v>
      </c>
      <c r="CM33" s="150">
        <f>IF(Tabel2[[#This Row],[LPR 10]]&gt;0,1,0)</f>
        <v>0</v>
      </c>
      <c r="CN33" s="150">
        <f>SUM(Tabel7[[#This Row],[sep]:[jun]])</f>
        <v>0</v>
      </c>
      <c r="CO33" s="22" t="str">
        <f t="shared" si="1"/>
        <v/>
      </c>
      <c r="CP33" s="22" t="str">
        <f t="shared" si="2"/>
        <v/>
      </c>
      <c r="CQ33" s="22" t="str">
        <f t="shared" si="3"/>
        <v/>
      </c>
      <c r="CR33" s="22" t="str">
        <f t="shared" si="4"/>
        <v/>
      </c>
      <c r="CS33" s="22" t="str">
        <f t="shared" si="5"/>
        <v/>
      </c>
    </row>
    <row r="34" spans="1:97" x14ac:dyDescent="0.3">
      <c r="A34" s="22" t="s">
        <v>156</v>
      </c>
      <c r="B34" s="22" t="s">
        <v>149</v>
      </c>
      <c r="D34" s="22" t="s">
        <v>150</v>
      </c>
      <c r="E34" t="s">
        <v>207</v>
      </c>
      <c r="F34" s="22">
        <v>119753</v>
      </c>
      <c r="G34" s="25" t="s">
        <v>162</v>
      </c>
      <c r="H34" s="23">
        <f>Tabel2[[#This Row],[pnt t/m 2021/22]]+Tabel2[[#This Row],[pnt 2022/2023]]</f>
        <v>706.68939393939399</v>
      </c>
      <c r="I34">
        <v>2009</v>
      </c>
      <c r="J34">
        <v>2022</v>
      </c>
      <c r="K34" s="24">
        <f>Tabel2[[#This Row],[ijkdatum]]-Tabel2[[#This Row],[Geboren]]</f>
        <v>13</v>
      </c>
      <c r="L34" s="26">
        <f>Tabel2[[#This Row],[TTL 1]]+Tabel2[[#This Row],[TTL 2]]+Tabel2[[#This Row],[TTL 3]]+Tabel2[[#This Row],[TTL 4]]+Tabel2[[#This Row],[TTL 5]]+Tabel2[[#This Row],[TTL 6]]+Tabel2[[#This Row],[TTL 7]]+Tabel2[[#This Row],[TTL 8]]+Tabel2[[#This Row],[TTL 9]]+Tabel2[[#This Row],[TTL 10]]</f>
        <v>315.75</v>
      </c>
      <c r="M34" s="153">
        <v>390.93939393939394</v>
      </c>
      <c r="N34">
        <v>6</v>
      </c>
      <c r="O34">
        <v>8</v>
      </c>
      <c r="P34">
        <v>6</v>
      </c>
      <c r="Q34">
        <v>31</v>
      </c>
      <c r="S34" s="153">
        <f>SUM(Tabel2[[#This Row],[V 1]]*10+Tabel2[[#This Row],[GT 1]])/Tabel2[[#This Row],[AW 1]]*10+Tabel2[[#This Row],[BONUS 1]]</f>
        <v>113.75</v>
      </c>
      <c r="T34">
        <v>5</v>
      </c>
      <c r="U34">
        <v>10</v>
      </c>
      <c r="V34">
        <v>4</v>
      </c>
      <c r="W34">
        <v>32</v>
      </c>
      <c r="Y34" s="153">
        <f>SUM(Tabel2[[#This Row],[V 2]]*10+Tabel2[[#This Row],[GT 2]])/Tabel2[[#This Row],[AW 2]]*10+Tabel2[[#This Row],[BONUS 2]]</f>
        <v>72</v>
      </c>
      <c r="Z34">
        <v>6</v>
      </c>
      <c r="AA34">
        <v>6</v>
      </c>
      <c r="AB34">
        <v>5</v>
      </c>
      <c r="AC34">
        <v>28</v>
      </c>
      <c r="AE34" s="23">
        <f>SUM(Tabel2[[#This Row],[V 3]]*10+Tabel2[[#This Row],[GT 3]])/Tabel2[[#This Row],[AW 3]]*10+Tabel2[[#This Row],[BONUS 3]]</f>
        <v>130</v>
      </c>
      <c r="AG34">
        <v>1</v>
      </c>
      <c r="AK34" s="153">
        <f>SUM(Tabel2[[#This Row],[V 4]]*10+Tabel2[[#This Row],[GT 4]])/Tabel2[[#This Row],[AW 4]]*10+Tabel2[[#This Row],[BONUS 4]]</f>
        <v>0</v>
      </c>
      <c r="AM34">
        <v>1</v>
      </c>
      <c r="AQ34" s="153">
        <f>SUM(Tabel2[[#This Row],[V 5]]*10+Tabel2[[#This Row],[GT 5]])/Tabel2[[#This Row],[AW 5]]*10+Tabel2[[#This Row],[BONUS 5]]</f>
        <v>0</v>
      </c>
      <c r="AS34">
        <v>1</v>
      </c>
      <c r="AW34" s="153">
        <f>SUM(Tabel2[[#This Row],[V 6]]*10+Tabel2[[#This Row],[GT 6]])/Tabel2[[#This Row],[AW 6]]*10+Tabel2[[#This Row],[BONUS 6]]</f>
        <v>0</v>
      </c>
      <c r="AY34">
        <v>1</v>
      </c>
      <c r="BC34" s="23">
        <f>SUM(Tabel2[[#This Row],[V 7]]*10+Tabel2[[#This Row],[GT 7]])/Tabel2[[#This Row],[AW 7]]*10+Tabel2[[#This Row],[BONUS 7]]</f>
        <v>0</v>
      </c>
      <c r="BE34">
        <v>1</v>
      </c>
      <c r="BI34" s="23">
        <f>SUM(Tabel2[[#This Row],[V 8]]*10+Tabel2[[#This Row],[GT 8]])/Tabel2[[#This Row],[AW 8]]*10+Tabel2[[#This Row],[BONUS 8]]</f>
        <v>0</v>
      </c>
      <c r="BK34">
        <v>1</v>
      </c>
      <c r="BO34" s="153">
        <f>SUM(Tabel2[[#This Row],[V 9]]*10+Tabel2[[#This Row],[GT 9]])/Tabel2[[#This Row],[AW 9]]*10+Tabel2[[#This Row],[BONUS 9]]</f>
        <v>0</v>
      </c>
      <c r="BQ34">
        <v>1</v>
      </c>
      <c r="BU34" s="23">
        <f>SUM(Tabel2[[#This Row],[V 10]]*10+Tabel2[[#This Row],[GT 10]])/Tabel2[[#This Row],[AW 10]]*10+Tabel2[[#This Row],[BONUS 10]]</f>
        <v>0</v>
      </c>
      <c r="BV3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4" s="22">
        <v>500</v>
      </c>
      <c r="BX34" s="22">
        <f>Tabel2[[#This Row],[Diploma]]-Tabel2[[#This Row],[Uitgeschreven]]</f>
        <v>0</v>
      </c>
      <c r="BY34" s="155" t="str">
        <f t="shared" si="0"/>
        <v>geen actie</v>
      </c>
      <c r="CA34" s="150">
        <f>Tabel2[[#This Row],[pnt t/m 2021/22]]</f>
        <v>390.93939393939394</v>
      </c>
      <c r="CB34" s="150">
        <f>Tabel2[[#This Row],[pnt 2022/2023]]</f>
        <v>315.75</v>
      </c>
      <c r="CC34" s="150">
        <f t="shared" si="6"/>
        <v>706.68939393939399</v>
      </c>
      <c r="CD34" s="150">
        <f>IF(Tabel2[[#This Row],[LPR 1]]&gt;0,1,0)</f>
        <v>1</v>
      </c>
      <c r="CE34" s="150">
        <f>IF(Tabel2[[#This Row],[LPR 2]]&gt;0,1,0)</f>
        <v>1</v>
      </c>
      <c r="CF34" s="150">
        <f>IF(Tabel2[[#This Row],[LPR 3]]&gt;0,1,0)</f>
        <v>1</v>
      </c>
      <c r="CG34" s="150">
        <f>IF(Tabel2[[#This Row],[LPR 4]]&gt;0,1,0)</f>
        <v>0</v>
      </c>
      <c r="CH34" s="150">
        <f>IF(Tabel2[[#This Row],[LPR 5]]&gt;0,1,0)</f>
        <v>0</v>
      </c>
      <c r="CI34" s="150">
        <f>IF(Tabel2[[#This Row],[LPR 6]]&gt;0,1,0)</f>
        <v>0</v>
      </c>
      <c r="CJ34" s="150">
        <f>IF(Tabel2[[#This Row],[LPR 7]]&gt;0,1,0)</f>
        <v>0</v>
      </c>
      <c r="CK34" s="150">
        <f>IF(Tabel2[[#This Row],[LPR 8]]&gt;0,1,0)</f>
        <v>0</v>
      </c>
      <c r="CL34" s="150">
        <f>IF(Tabel2[[#This Row],[LPR 9]]&gt;0,1,0)</f>
        <v>0</v>
      </c>
      <c r="CM34" s="150">
        <f>IF(Tabel2[[#This Row],[LPR 10]]&gt;0,1,0)</f>
        <v>0</v>
      </c>
      <c r="CN34" s="150">
        <f>SUM(Tabel7[[#This Row],[sep]:[jun]])</f>
        <v>3</v>
      </c>
      <c r="CO34" s="22" t="str">
        <f t="shared" si="1"/>
        <v/>
      </c>
      <c r="CP34" s="22" t="str">
        <f t="shared" si="2"/>
        <v/>
      </c>
      <c r="CQ34" s="22" t="str">
        <f t="shared" si="3"/>
        <v/>
      </c>
      <c r="CR34" s="22" t="str">
        <f t="shared" si="4"/>
        <v/>
      </c>
      <c r="CS34" s="22" t="str">
        <f t="shared" si="5"/>
        <v/>
      </c>
    </row>
    <row r="35" spans="1:97" x14ac:dyDescent="0.3">
      <c r="A35" s="22" t="s">
        <v>190</v>
      </c>
      <c r="B35" s="22" t="s">
        <v>149</v>
      </c>
      <c r="D35" s="22" t="s">
        <v>163</v>
      </c>
      <c r="E35" t="s">
        <v>208</v>
      </c>
      <c r="F35" s="22">
        <v>119942</v>
      </c>
      <c r="G35" s="25" t="s">
        <v>192</v>
      </c>
      <c r="H35" s="23">
        <f>Tabel2[[#This Row],[pnt t/m 2021/22]]+Tabel2[[#This Row],[pnt 2022/2023]]</f>
        <v>133.75</v>
      </c>
      <c r="I35">
        <v>2012</v>
      </c>
      <c r="J35">
        <v>2022</v>
      </c>
      <c r="K35" s="24">
        <f>Tabel2[[#This Row],[ijkdatum]]-Tabel2[[#This Row],[Geboren]]</f>
        <v>10</v>
      </c>
      <c r="L35" s="26">
        <f>Tabel2[[#This Row],[TTL 1]]+Tabel2[[#This Row],[TTL 2]]+Tabel2[[#This Row],[TTL 3]]+Tabel2[[#This Row],[TTL 4]]+Tabel2[[#This Row],[TTL 5]]+Tabel2[[#This Row],[TTL 6]]+Tabel2[[#This Row],[TTL 7]]+Tabel2[[#This Row],[TTL 8]]+Tabel2[[#This Row],[TTL 9]]+Tabel2[[#This Row],[TTL 10]]</f>
        <v>0</v>
      </c>
      <c r="M35" s="157">
        <v>133.75</v>
      </c>
      <c r="O35">
        <v>1</v>
      </c>
      <c r="S35" s="153">
        <f>SUM(Tabel2[[#This Row],[V 1]]*10+Tabel2[[#This Row],[GT 1]])/Tabel2[[#This Row],[AW 1]]*10+Tabel2[[#This Row],[BONUS 1]]</f>
        <v>0</v>
      </c>
      <c r="U35">
        <v>1</v>
      </c>
      <c r="Y35" s="153">
        <f>SUM(Tabel2[[#This Row],[V 2]]*10+Tabel2[[#This Row],[GT 2]])/Tabel2[[#This Row],[AW 2]]*10+Tabel2[[#This Row],[BONUS 2]]</f>
        <v>0</v>
      </c>
      <c r="AA35">
        <v>1</v>
      </c>
      <c r="AE35" s="153">
        <f>SUM(Tabel2[[#This Row],[V 3]]*10+Tabel2[[#This Row],[GT 3]])/Tabel2[[#This Row],[AW 3]]*10+Tabel2[[#This Row],[BONUS 3]]</f>
        <v>0</v>
      </c>
      <c r="AG35">
        <v>1</v>
      </c>
      <c r="AK35" s="153">
        <f>SUM(Tabel2[[#This Row],[V 4]]*10+Tabel2[[#This Row],[GT 4]])/Tabel2[[#This Row],[AW 4]]*10+Tabel2[[#This Row],[BONUS 4]]</f>
        <v>0</v>
      </c>
      <c r="AM35">
        <v>1</v>
      </c>
      <c r="AQ35" s="153">
        <f>SUM(Tabel2[[#This Row],[V 5]]*10+Tabel2[[#This Row],[GT 5]])/Tabel2[[#This Row],[AW 5]]*10+Tabel2[[#This Row],[BONUS 5]]</f>
        <v>0</v>
      </c>
      <c r="AS35">
        <v>1</v>
      </c>
      <c r="AW35" s="153">
        <f>SUM(Tabel2[[#This Row],[V 6]]*10+Tabel2[[#This Row],[GT 6]])/Tabel2[[#This Row],[AW 6]]*10+Tabel2[[#This Row],[BONUS 6]]</f>
        <v>0</v>
      </c>
      <c r="AY35">
        <v>1</v>
      </c>
      <c r="BC35" s="153">
        <f>SUM(Tabel2[[#This Row],[V 7]]*10+Tabel2[[#This Row],[GT 7]])/Tabel2[[#This Row],[AW 7]]*10+Tabel2[[#This Row],[BONUS 7]]</f>
        <v>0</v>
      </c>
      <c r="BE35">
        <v>1</v>
      </c>
      <c r="BI35" s="153">
        <f>SUM(Tabel2[[#This Row],[V 8]]*10+Tabel2[[#This Row],[GT 8]])/Tabel2[[#This Row],[AW 8]]*10+Tabel2[[#This Row],[BONUS 8]]</f>
        <v>0</v>
      </c>
      <c r="BK35">
        <v>1</v>
      </c>
      <c r="BO35" s="153">
        <f>SUM(Tabel2[[#This Row],[V 9]]*10+Tabel2[[#This Row],[GT 9]])/Tabel2[[#This Row],[AW 9]]*10+Tabel2[[#This Row],[BONUS 9]]</f>
        <v>0</v>
      </c>
      <c r="BQ35">
        <v>1</v>
      </c>
      <c r="BU35" s="23">
        <f>SUM(Tabel2[[#This Row],[V 10]]*10+Tabel2[[#This Row],[GT 10]])/Tabel2[[#This Row],[AW 10]]*10+Tabel2[[#This Row],[BONUS 10]]</f>
        <v>0</v>
      </c>
      <c r="BV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5" s="22">
        <v>0</v>
      </c>
      <c r="BX35" s="22">
        <f>Tabel2[[#This Row],[Diploma]]-Tabel2[[#This Row],[Uitgeschreven]]</f>
        <v>0</v>
      </c>
      <c r="BY35" s="155" t="str">
        <f t="shared" si="0"/>
        <v>geen actie</v>
      </c>
      <c r="CA35" s="150">
        <f>Tabel2[[#This Row],[pnt t/m 2021/22]]</f>
        <v>133.75</v>
      </c>
      <c r="CB35" s="150">
        <f>Tabel2[[#This Row],[pnt 2022/2023]]</f>
        <v>0</v>
      </c>
      <c r="CC35" s="150">
        <f t="shared" si="6"/>
        <v>133.75</v>
      </c>
      <c r="CD35" s="150">
        <f>IF(Tabel2[[#This Row],[LPR 1]]&gt;0,1,0)</f>
        <v>0</v>
      </c>
      <c r="CE35" s="150">
        <f>IF(Tabel2[[#This Row],[LPR 2]]&gt;0,1,0)</f>
        <v>0</v>
      </c>
      <c r="CF35" s="150">
        <f>IF(Tabel2[[#This Row],[LPR 3]]&gt;0,1,0)</f>
        <v>0</v>
      </c>
      <c r="CG35" s="150">
        <f>IF(Tabel2[[#This Row],[LPR 4]]&gt;0,1,0)</f>
        <v>0</v>
      </c>
      <c r="CH35" s="150">
        <f>IF(Tabel2[[#This Row],[LPR 5]]&gt;0,1,0)</f>
        <v>0</v>
      </c>
      <c r="CI35" s="150">
        <f>IF(Tabel2[[#This Row],[LPR 6]]&gt;0,1,0)</f>
        <v>0</v>
      </c>
      <c r="CJ35" s="150">
        <f>IF(Tabel2[[#This Row],[LPR 7]]&gt;0,1,0)</f>
        <v>0</v>
      </c>
      <c r="CK35" s="150">
        <f>IF(Tabel2[[#This Row],[LPR 8]]&gt;0,1,0)</f>
        <v>0</v>
      </c>
      <c r="CL35" s="150">
        <f>IF(Tabel2[[#This Row],[LPR 9]]&gt;0,1,0)</f>
        <v>0</v>
      </c>
      <c r="CM35" s="150">
        <f>IF(Tabel2[[#This Row],[LPR 10]]&gt;0,1,0)</f>
        <v>0</v>
      </c>
      <c r="CN35" s="150">
        <f>SUM(Tabel7[[#This Row],[sep]:[jun]])</f>
        <v>0</v>
      </c>
      <c r="CO35" s="22" t="str">
        <f t="shared" si="1"/>
        <v/>
      </c>
      <c r="CP35" s="22" t="str">
        <f t="shared" si="2"/>
        <v/>
      </c>
      <c r="CQ35" s="22" t="str">
        <f t="shared" si="3"/>
        <v/>
      </c>
      <c r="CR35" s="22" t="str">
        <f t="shared" si="4"/>
        <v/>
      </c>
      <c r="CS35" s="22" t="str">
        <f t="shared" si="5"/>
        <v/>
      </c>
    </row>
    <row r="36" spans="1:97" x14ac:dyDescent="0.3">
      <c r="A36" s="22" t="s">
        <v>190</v>
      </c>
      <c r="B36" s="22" t="s">
        <v>149</v>
      </c>
      <c r="D36" s="22" t="s">
        <v>163</v>
      </c>
      <c r="E36" t="s">
        <v>209</v>
      </c>
      <c r="F36" s="22">
        <v>120465</v>
      </c>
      <c r="G36" s="25" t="s">
        <v>167</v>
      </c>
      <c r="H36" s="23">
        <f>Tabel2[[#This Row],[pnt t/m 2021/22]]+Tabel2[[#This Row],[pnt 2022/2023]]</f>
        <v>67.083333333333329</v>
      </c>
      <c r="I36">
        <v>2014</v>
      </c>
      <c r="J36">
        <v>2022</v>
      </c>
      <c r="K36" s="24">
        <f>Tabel2[[#This Row],[ijkdatum]]-Tabel2[[#This Row],[Geboren]]</f>
        <v>8</v>
      </c>
      <c r="L36" s="26">
        <f>Tabel2[[#This Row],[TTL 1]]+Tabel2[[#This Row],[TTL 2]]+Tabel2[[#This Row],[TTL 3]]+Tabel2[[#This Row],[TTL 4]]+Tabel2[[#This Row],[TTL 5]]+Tabel2[[#This Row],[TTL 6]]+Tabel2[[#This Row],[TTL 7]]+Tabel2[[#This Row],[TTL 8]]+Tabel2[[#This Row],[TTL 9]]+Tabel2[[#This Row],[TTL 10]]</f>
        <v>0</v>
      </c>
      <c r="M36" s="153">
        <v>67.083333333333329</v>
      </c>
      <c r="O36">
        <v>1</v>
      </c>
      <c r="S36" s="153">
        <f>SUM(Tabel2[[#This Row],[V 1]]*10+Tabel2[[#This Row],[GT 1]])/Tabel2[[#This Row],[AW 1]]*10+Tabel2[[#This Row],[BONUS 1]]</f>
        <v>0</v>
      </c>
      <c r="U36">
        <v>1</v>
      </c>
      <c r="Y36" s="23">
        <f>SUM(Tabel2[[#This Row],[V 2]]*10+Tabel2[[#This Row],[GT 2]])/Tabel2[[#This Row],[AW 2]]*10+Tabel2[[#This Row],[BONUS 2]]</f>
        <v>0</v>
      </c>
      <c r="AA36">
        <v>1</v>
      </c>
      <c r="AE36" s="23">
        <f>SUM(Tabel2[[#This Row],[V 3]]*10+Tabel2[[#This Row],[GT 3]])/Tabel2[[#This Row],[AW 3]]*10+Tabel2[[#This Row],[BONUS 3]]</f>
        <v>0</v>
      </c>
      <c r="AG36">
        <v>1</v>
      </c>
      <c r="AK36" s="23">
        <f>SUM(Tabel2[[#This Row],[V 4]]*10+Tabel2[[#This Row],[GT 4]])/Tabel2[[#This Row],[AW 4]]*10+Tabel2[[#This Row],[BONUS 4]]</f>
        <v>0</v>
      </c>
      <c r="AM36">
        <v>1</v>
      </c>
      <c r="AQ36" s="23">
        <f>SUM(Tabel2[[#This Row],[V 5]]*10+Tabel2[[#This Row],[GT 5]])/Tabel2[[#This Row],[AW 5]]*10+Tabel2[[#This Row],[BONUS 5]]</f>
        <v>0</v>
      </c>
      <c r="AS36">
        <v>1</v>
      </c>
      <c r="AW36" s="23">
        <f>SUM(Tabel2[[#This Row],[V 6]]*10+Tabel2[[#This Row],[GT 6]])/Tabel2[[#This Row],[AW 6]]*10+Tabel2[[#This Row],[BONUS 6]]</f>
        <v>0</v>
      </c>
      <c r="AY36">
        <v>1</v>
      </c>
      <c r="BC36" s="23">
        <f>SUM(Tabel2[[#This Row],[V 7]]*10+Tabel2[[#This Row],[GT 7]])/Tabel2[[#This Row],[AW 7]]*10+Tabel2[[#This Row],[BONUS 7]]</f>
        <v>0</v>
      </c>
      <c r="BE36">
        <v>1</v>
      </c>
      <c r="BI36" s="23">
        <f>SUM(Tabel2[[#This Row],[V 8]]*10+Tabel2[[#This Row],[GT 8]])/Tabel2[[#This Row],[AW 8]]*10+Tabel2[[#This Row],[BONUS 8]]</f>
        <v>0</v>
      </c>
      <c r="BK36">
        <v>1</v>
      </c>
      <c r="BO36" s="23">
        <f>SUM(Tabel2[[#This Row],[V 9]]*10+Tabel2[[#This Row],[GT 9]])/Tabel2[[#This Row],[AW 9]]*10+Tabel2[[#This Row],[BONUS 9]]</f>
        <v>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6" s="22">
        <v>0</v>
      </c>
      <c r="BX36" s="22">
        <f>Tabel2[[#This Row],[Diploma]]-Tabel2[[#This Row],[Uitgeschreven]]</f>
        <v>0</v>
      </c>
      <c r="BY36" s="155" t="str">
        <f t="shared" si="0"/>
        <v>geen actie</v>
      </c>
      <c r="CA36" s="150">
        <f>Tabel2[[#This Row],[pnt t/m 2021/22]]</f>
        <v>67.083333333333329</v>
      </c>
      <c r="CB36" s="150">
        <f>Tabel2[[#This Row],[pnt 2022/2023]]</f>
        <v>0</v>
      </c>
      <c r="CC36" s="150">
        <f t="shared" si="6"/>
        <v>67.083333333333329</v>
      </c>
      <c r="CD36" s="150">
        <f>IF(Tabel2[[#This Row],[LPR 1]]&gt;0,1,0)</f>
        <v>0</v>
      </c>
      <c r="CE36" s="150">
        <f>IF(Tabel2[[#This Row],[LPR 2]]&gt;0,1,0)</f>
        <v>0</v>
      </c>
      <c r="CF36" s="150">
        <f>IF(Tabel2[[#This Row],[LPR 3]]&gt;0,1,0)</f>
        <v>0</v>
      </c>
      <c r="CG36" s="150">
        <f>IF(Tabel2[[#This Row],[LPR 4]]&gt;0,1,0)</f>
        <v>0</v>
      </c>
      <c r="CH36" s="150">
        <f>IF(Tabel2[[#This Row],[LPR 5]]&gt;0,1,0)</f>
        <v>0</v>
      </c>
      <c r="CI36" s="150">
        <f>IF(Tabel2[[#This Row],[LPR 6]]&gt;0,1,0)</f>
        <v>0</v>
      </c>
      <c r="CJ36" s="150">
        <f>IF(Tabel2[[#This Row],[LPR 7]]&gt;0,1,0)</f>
        <v>0</v>
      </c>
      <c r="CK36" s="150">
        <f>IF(Tabel2[[#This Row],[LPR 8]]&gt;0,1,0)</f>
        <v>0</v>
      </c>
      <c r="CL36" s="150">
        <f>IF(Tabel2[[#This Row],[LPR 9]]&gt;0,1,0)</f>
        <v>0</v>
      </c>
      <c r="CM36" s="150">
        <f>IF(Tabel2[[#This Row],[LPR 10]]&gt;0,1,0)</f>
        <v>0</v>
      </c>
      <c r="CN36" s="150">
        <f>SUM(Tabel7[[#This Row],[sep]:[jun]])</f>
        <v>0</v>
      </c>
      <c r="CO36" s="22" t="str">
        <f t="shared" si="1"/>
        <v/>
      </c>
      <c r="CP36" s="22" t="str">
        <f t="shared" si="2"/>
        <v/>
      </c>
      <c r="CQ36" s="22" t="str">
        <f t="shared" si="3"/>
        <v/>
      </c>
      <c r="CR36" s="22" t="str">
        <f t="shared" si="4"/>
        <v/>
      </c>
      <c r="CS36" s="22" t="str">
        <f t="shared" si="5"/>
        <v/>
      </c>
    </row>
    <row r="37" spans="1:97" x14ac:dyDescent="0.3">
      <c r="A37" s="22" t="s">
        <v>153</v>
      </c>
      <c r="B37" s="22" t="s">
        <v>157</v>
      </c>
      <c r="D37" s="22" t="s">
        <v>163</v>
      </c>
      <c r="E37" t="s">
        <v>210</v>
      </c>
      <c r="F37" s="22">
        <v>119381</v>
      </c>
      <c r="G37" s="25" t="s">
        <v>211</v>
      </c>
      <c r="H37" s="23">
        <f>Tabel2[[#This Row],[pnt t/m 2021/22]]+Tabel2[[#This Row],[pnt 2022/2023]]</f>
        <v>120</v>
      </c>
      <c r="I37">
        <v>2012</v>
      </c>
      <c r="J37">
        <v>2022</v>
      </c>
      <c r="K37" s="24">
        <f>Tabel2[[#This Row],[ijkdatum]]-Tabel2[[#This Row],[Geboren]]</f>
        <v>10</v>
      </c>
      <c r="L37" s="26">
        <f>Tabel2[[#This Row],[TTL 1]]+Tabel2[[#This Row],[TTL 2]]+Tabel2[[#This Row],[TTL 3]]+Tabel2[[#This Row],[TTL 4]]+Tabel2[[#This Row],[TTL 5]]+Tabel2[[#This Row],[TTL 6]]+Tabel2[[#This Row],[TTL 7]]+Tabel2[[#This Row],[TTL 8]]+Tabel2[[#This Row],[TTL 9]]+Tabel2[[#This Row],[TTL 10]]</f>
        <v>0</v>
      </c>
      <c r="M37" s="153">
        <v>120</v>
      </c>
      <c r="O37">
        <v>1</v>
      </c>
      <c r="S37" s="153">
        <f>SUM(Tabel2[[#This Row],[V 1]]*10+Tabel2[[#This Row],[GT 1]])/Tabel2[[#This Row],[AW 1]]*10+Tabel2[[#This Row],[BONUS 1]]</f>
        <v>0</v>
      </c>
      <c r="U37">
        <v>1</v>
      </c>
      <c r="Y37" s="153">
        <f>SUM(Tabel2[[#This Row],[V 2]]*10+Tabel2[[#This Row],[GT 2]])/Tabel2[[#This Row],[AW 2]]*10+Tabel2[[#This Row],[BONUS 2]]</f>
        <v>0</v>
      </c>
      <c r="AA37">
        <v>1</v>
      </c>
      <c r="AE37" s="153">
        <f>SUM(Tabel2[[#This Row],[V 3]]*10+Tabel2[[#This Row],[GT 3]])/Tabel2[[#This Row],[AW 3]]*10+Tabel2[[#This Row],[BONUS 3]]</f>
        <v>0</v>
      </c>
      <c r="AG37">
        <v>1</v>
      </c>
      <c r="AK37" s="153">
        <f>SUM(Tabel2[[#This Row],[V 4]]*10+Tabel2[[#This Row],[GT 4]])/Tabel2[[#This Row],[AW 4]]*10+Tabel2[[#This Row],[BONUS 4]]</f>
        <v>0</v>
      </c>
      <c r="AM37">
        <v>1</v>
      </c>
      <c r="AQ37" s="153">
        <f>SUM(Tabel2[[#This Row],[V 5]]*10+Tabel2[[#This Row],[GT 5]])/Tabel2[[#This Row],[AW 5]]*10+Tabel2[[#This Row],[BONUS 5]]</f>
        <v>0</v>
      </c>
      <c r="AS37">
        <v>1</v>
      </c>
      <c r="AW37" s="153">
        <f>SUM(Tabel2[[#This Row],[V 6]]*10+Tabel2[[#This Row],[GT 6]])/Tabel2[[#This Row],[AW 6]]*10+Tabel2[[#This Row],[BONUS 6]]</f>
        <v>0</v>
      </c>
      <c r="AY37">
        <v>1</v>
      </c>
      <c r="BC37" s="23">
        <f>SUM(Tabel2[[#This Row],[V 7]]*10+Tabel2[[#This Row],[GT 7]])/Tabel2[[#This Row],[AW 7]]*10+Tabel2[[#This Row],[BONUS 7]]</f>
        <v>0</v>
      </c>
      <c r="BE37">
        <v>1</v>
      </c>
      <c r="BI37" s="153">
        <f>SUM(Tabel2[[#This Row],[V 8]]*10+Tabel2[[#This Row],[GT 8]])/Tabel2[[#This Row],[AW 8]]*10+Tabel2[[#This Row],[BONUS 8]]</f>
        <v>0</v>
      </c>
      <c r="BK37">
        <v>1</v>
      </c>
      <c r="BO37" s="153">
        <f>SUM(Tabel2[[#This Row],[V 9]]*10+Tabel2[[#This Row],[GT 9]])/Tabel2[[#This Row],[AW 9]]*10+Tabel2[[#This Row],[BONUS 9]]</f>
        <v>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7" s="22">
        <v>0</v>
      </c>
      <c r="BX37" s="22">
        <f>Tabel2[[#This Row],[Diploma]]-Tabel2[[#This Row],[Uitgeschreven]]</f>
        <v>0</v>
      </c>
      <c r="BY37" s="155" t="str">
        <f t="shared" ref="BY37:BY68" si="7">IF(BX37=0,"geen actie",CONCATENATE("diploma uitschrijven: ",BV37," punten"))</f>
        <v>geen actie</v>
      </c>
      <c r="CA37" s="150">
        <f>Tabel2[[#This Row],[pnt t/m 2021/22]]</f>
        <v>120</v>
      </c>
      <c r="CB37" s="150">
        <f>Tabel2[[#This Row],[pnt 2022/2023]]</f>
        <v>0</v>
      </c>
      <c r="CC37" s="150">
        <f t="shared" si="6"/>
        <v>120</v>
      </c>
      <c r="CD37" s="150">
        <f>IF(Tabel2[[#This Row],[LPR 1]]&gt;0,1,0)</f>
        <v>0</v>
      </c>
      <c r="CE37" s="150">
        <f>IF(Tabel2[[#This Row],[LPR 2]]&gt;0,1,0)</f>
        <v>0</v>
      </c>
      <c r="CF37" s="150">
        <f>IF(Tabel2[[#This Row],[LPR 3]]&gt;0,1,0)</f>
        <v>0</v>
      </c>
      <c r="CG37" s="150">
        <f>IF(Tabel2[[#This Row],[LPR 4]]&gt;0,1,0)</f>
        <v>0</v>
      </c>
      <c r="CH37" s="150">
        <f>IF(Tabel2[[#This Row],[LPR 5]]&gt;0,1,0)</f>
        <v>0</v>
      </c>
      <c r="CI37" s="150">
        <f>IF(Tabel2[[#This Row],[LPR 6]]&gt;0,1,0)</f>
        <v>0</v>
      </c>
      <c r="CJ37" s="150">
        <f>IF(Tabel2[[#This Row],[LPR 7]]&gt;0,1,0)</f>
        <v>0</v>
      </c>
      <c r="CK37" s="150">
        <f>IF(Tabel2[[#This Row],[LPR 8]]&gt;0,1,0)</f>
        <v>0</v>
      </c>
      <c r="CL37" s="150">
        <f>IF(Tabel2[[#This Row],[LPR 9]]&gt;0,1,0)</f>
        <v>0</v>
      </c>
      <c r="CM37" s="150">
        <f>IF(Tabel2[[#This Row],[LPR 10]]&gt;0,1,0)</f>
        <v>0</v>
      </c>
      <c r="CN37" s="150">
        <f>SUM(Tabel7[[#This Row],[sep]:[jun]])</f>
        <v>0</v>
      </c>
      <c r="CO37" s="22" t="str">
        <f t="shared" si="1"/>
        <v/>
      </c>
      <c r="CP37" s="22" t="str">
        <f t="shared" si="2"/>
        <v/>
      </c>
      <c r="CQ37" s="22" t="str">
        <f t="shared" si="3"/>
        <v/>
      </c>
      <c r="CR37" s="22" t="str">
        <f t="shared" si="4"/>
        <v/>
      </c>
      <c r="CS37" s="22" t="str">
        <f t="shared" si="5"/>
        <v/>
      </c>
    </row>
    <row r="38" spans="1:97" x14ac:dyDescent="0.3">
      <c r="A38" s="22" t="s">
        <v>148</v>
      </c>
      <c r="B38" s="22" t="s">
        <v>149</v>
      </c>
      <c r="D38" s="22" t="s">
        <v>160</v>
      </c>
      <c r="E38" t="s">
        <v>212</v>
      </c>
      <c r="F38" s="22">
        <v>120082</v>
      </c>
      <c r="G38" s="25" t="s">
        <v>213</v>
      </c>
      <c r="H38" s="23">
        <f>Tabel2[[#This Row],[pnt t/m 2021/22]]+Tabel2[[#This Row],[pnt 2022/2023]]</f>
        <v>503.08730158730157</v>
      </c>
      <c r="I38">
        <v>2010</v>
      </c>
      <c r="J38">
        <v>2022</v>
      </c>
      <c r="K38" s="24">
        <f>Tabel2[[#This Row],[ijkdatum]]-Tabel2[[#This Row],[Geboren]]</f>
        <v>12</v>
      </c>
      <c r="L38" s="26">
        <f>Tabel2[[#This Row],[TTL 1]]+Tabel2[[#This Row],[TTL 2]]+Tabel2[[#This Row],[TTL 3]]+Tabel2[[#This Row],[TTL 4]]+Tabel2[[#This Row],[TTL 5]]+Tabel2[[#This Row],[TTL 6]]+Tabel2[[#This Row],[TTL 7]]+Tabel2[[#This Row],[TTL 8]]+Tabel2[[#This Row],[TTL 9]]+Tabel2[[#This Row],[TTL 10]]</f>
        <v>226.5</v>
      </c>
      <c r="M38" s="153">
        <v>276.58730158730157</v>
      </c>
      <c r="N38">
        <v>3</v>
      </c>
      <c r="O38">
        <v>10</v>
      </c>
      <c r="P38">
        <v>6</v>
      </c>
      <c r="Q38">
        <v>39</v>
      </c>
      <c r="S38" s="153">
        <f>SUM(Tabel2[[#This Row],[V 1]]*10+Tabel2[[#This Row],[GT 1]])/Tabel2[[#This Row],[AW 1]]*10+Tabel2[[#This Row],[BONUS 1]]</f>
        <v>99</v>
      </c>
      <c r="U38">
        <v>1</v>
      </c>
      <c r="Y38" s="153">
        <f>SUM(Tabel2[[#This Row],[V 2]]*10+Tabel2[[#This Row],[GT 2]])/Tabel2[[#This Row],[AW 2]]*10+Tabel2[[#This Row],[BONUS 2]]</f>
        <v>0</v>
      </c>
      <c r="Z38">
        <v>2</v>
      </c>
      <c r="AA38">
        <v>8</v>
      </c>
      <c r="AB38">
        <v>7</v>
      </c>
      <c r="AC38">
        <v>32</v>
      </c>
      <c r="AE38" s="23">
        <f>SUM(Tabel2[[#This Row],[V 3]]*10+Tabel2[[#This Row],[GT 3]])/Tabel2[[#This Row],[AW 3]]*10+Tabel2[[#This Row],[BONUS 3]]</f>
        <v>127.5</v>
      </c>
      <c r="AG38">
        <v>1</v>
      </c>
      <c r="AK38" s="153">
        <f>SUM(Tabel2[[#This Row],[V 4]]*10+Tabel2[[#This Row],[GT 4]])/Tabel2[[#This Row],[AW 4]]*10+Tabel2[[#This Row],[BONUS 4]]</f>
        <v>0</v>
      </c>
      <c r="AM38">
        <v>1</v>
      </c>
      <c r="AQ38" s="153">
        <f>SUM(Tabel2[[#This Row],[V 5]]*10+Tabel2[[#This Row],[GT 5]])/Tabel2[[#This Row],[AW 5]]*10+Tabel2[[#This Row],[BONUS 5]]</f>
        <v>0</v>
      </c>
      <c r="AS38">
        <v>1</v>
      </c>
      <c r="AW38" s="15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153">
        <f>SUM(Tabel2[[#This Row],[V 9]]*10+Tabel2[[#This Row],[GT 9]])/Tabel2[[#This Row],[AW 9]]*10+Tabel2[[#This Row],[BONUS 9]]</f>
        <v>0</v>
      </c>
      <c r="BQ38">
        <v>1</v>
      </c>
      <c r="BU38" s="23">
        <f>SUM(Tabel2[[#This Row],[V 10]]*10+Tabel2[[#This Row],[GT 10]])/Tabel2[[#This Row],[AW 10]]*10+Tabel2[[#This Row],[BONUS 10]]</f>
        <v>0</v>
      </c>
      <c r="BV3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8" s="22">
        <v>250</v>
      </c>
      <c r="BX38" s="22">
        <f>Tabel2[[#This Row],[Diploma]]-Tabel2[[#This Row],[Uitgeschreven]]</f>
        <v>250</v>
      </c>
      <c r="BY38" s="155" t="str">
        <f t="shared" si="7"/>
        <v>diploma uitschrijven: 500 punten</v>
      </c>
      <c r="CA38" s="150">
        <f>Tabel2[[#This Row],[pnt t/m 2021/22]]</f>
        <v>276.58730158730157</v>
      </c>
      <c r="CB38" s="150">
        <f>Tabel2[[#This Row],[pnt 2022/2023]]</f>
        <v>226.5</v>
      </c>
      <c r="CC38" s="150">
        <f t="shared" si="6"/>
        <v>503.08730158730157</v>
      </c>
      <c r="CD38" s="150">
        <f>IF(Tabel2[[#This Row],[LPR 1]]&gt;0,1,0)</f>
        <v>1</v>
      </c>
      <c r="CE38" s="150">
        <f>IF(Tabel2[[#This Row],[LPR 2]]&gt;0,1,0)</f>
        <v>0</v>
      </c>
      <c r="CF38" s="150">
        <f>IF(Tabel2[[#This Row],[LPR 3]]&gt;0,1,0)</f>
        <v>1</v>
      </c>
      <c r="CG38" s="150">
        <f>IF(Tabel2[[#This Row],[LPR 4]]&gt;0,1,0)</f>
        <v>0</v>
      </c>
      <c r="CH38" s="150">
        <f>IF(Tabel2[[#This Row],[LPR 5]]&gt;0,1,0)</f>
        <v>0</v>
      </c>
      <c r="CI38" s="150">
        <f>IF(Tabel2[[#This Row],[LPR 6]]&gt;0,1,0)</f>
        <v>0</v>
      </c>
      <c r="CJ38" s="150">
        <f>IF(Tabel2[[#This Row],[LPR 7]]&gt;0,1,0)</f>
        <v>0</v>
      </c>
      <c r="CK38" s="150">
        <f>IF(Tabel2[[#This Row],[LPR 8]]&gt;0,1,0)</f>
        <v>0</v>
      </c>
      <c r="CL38" s="150">
        <f>IF(Tabel2[[#This Row],[LPR 9]]&gt;0,1,0)</f>
        <v>0</v>
      </c>
      <c r="CM38" s="150">
        <f>IF(Tabel2[[#This Row],[LPR 10]]&gt;0,1,0)</f>
        <v>0</v>
      </c>
      <c r="CN38" s="150">
        <f>SUM(Tabel7[[#This Row],[sep]:[jun]])</f>
        <v>2</v>
      </c>
      <c r="CO38" s="22" t="str">
        <f t="shared" si="1"/>
        <v/>
      </c>
      <c r="CP38" s="22" t="str">
        <f t="shared" si="2"/>
        <v/>
      </c>
      <c r="CQ38" s="22" t="str">
        <f t="shared" si="3"/>
        <v/>
      </c>
      <c r="CR38" s="22" t="str">
        <f t="shared" si="4"/>
        <v/>
      </c>
      <c r="CS38" s="22" t="str">
        <f t="shared" si="5"/>
        <v/>
      </c>
    </row>
    <row r="39" spans="1:97" x14ac:dyDescent="0.3">
      <c r="A39" s="22" t="s">
        <v>153</v>
      </c>
      <c r="B39" s="22" t="s">
        <v>149</v>
      </c>
      <c r="D39" s="22" t="s">
        <v>160</v>
      </c>
      <c r="E39" t="s">
        <v>214</v>
      </c>
      <c r="F39" s="22">
        <v>120340</v>
      </c>
      <c r="G39" s="25" t="s">
        <v>171</v>
      </c>
      <c r="H39" s="142">
        <f>Tabel2[[#This Row],[pnt t/m 2021/22]]+Tabel2[[#This Row],[pnt 2022/2023]]</f>
        <v>486.77289377289378</v>
      </c>
      <c r="I39">
        <v>2013</v>
      </c>
      <c r="J39">
        <v>2022</v>
      </c>
      <c r="K39" s="24">
        <f>Tabel2[[#This Row],[ijkdatum]]-Tabel2[[#This Row],[Geboren]]</f>
        <v>9</v>
      </c>
      <c r="L39" s="26">
        <f>Tabel2[[#This Row],[TTL 1]]+Tabel2[[#This Row],[TTL 2]]+Tabel2[[#This Row],[TTL 3]]+Tabel2[[#This Row],[TTL 4]]+Tabel2[[#This Row],[TTL 5]]+Tabel2[[#This Row],[TTL 6]]+Tabel2[[#This Row],[TTL 7]]+Tabel2[[#This Row],[TTL 8]]+Tabel2[[#This Row],[TTL 9]]+Tabel2[[#This Row],[TTL 10]]</f>
        <v>108.33333333333334</v>
      </c>
      <c r="M39" s="153">
        <v>378.43956043956041</v>
      </c>
      <c r="O39">
        <v>1</v>
      </c>
      <c r="S39" s="153">
        <f>SUM(Tabel2[[#This Row],[V 1]]*10+Tabel2[[#This Row],[GT 1]])/Tabel2[[#This Row],[AW 1]]*10+Tabel2[[#This Row],[BONUS 1]]</f>
        <v>0</v>
      </c>
      <c r="U39">
        <v>1</v>
      </c>
      <c r="Y39" s="23">
        <f>SUM(Tabel2[[#This Row],[V 2]]*10+Tabel2[[#This Row],[GT 2]])/Tabel2[[#This Row],[AW 2]]*10+Tabel2[[#This Row],[BONUS 2]]</f>
        <v>0</v>
      </c>
      <c r="Z39">
        <v>8</v>
      </c>
      <c r="AA39">
        <v>6</v>
      </c>
      <c r="AB39">
        <v>4</v>
      </c>
      <c r="AC39">
        <v>25</v>
      </c>
      <c r="AE39" s="23">
        <f>SUM(Tabel2[[#This Row],[V 3]]*10+Tabel2[[#This Row],[GT 3]])/Tabel2[[#This Row],[AW 3]]*10+Tabel2[[#This Row],[BONUS 3]]</f>
        <v>108.33333333333334</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22">
        <f>Tabel2[[#This Row],[Diploma]]-Tabel2[[#This Row],[Uitgeschreven]]</f>
        <v>0</v>
      </c>
      <c r="BY39" s="155" t="str">
        <f t="shared" si="7"/>
        <v>geen actie</v>
      </c>
      <c r="CA39" s="150">
        <f>Tabel2[[#This Row],[pnt t/m 2021/22]]</f>
        <v>378.43956043956041</v>
      </c>
      <c r="CB39" s="150">
        <f>Tabel2[[#This Row],[pnt 2022/2023]]</f>
        <v>108.33333333333334</v>
      </c>
      <c r="CC39" s="150">
        <f t="shared" si="6"/>
        <v>486.77289377289378</v>
      </c>
      <c r="CD39" s="150">
        <f>IF(Tabel2[[#This Row],[LPR 1]]&gt;0,1,0)</f>
        <v>0</v>
      </c>
      <c r="CE39" s="150">
        <f>IF(Tabel2[[#This Row],[LPR 2]]&gt;0,1,0)</f>
        <v>0</v>
      </c>
      <c r="CF39" s="150">
        <f>IF(Tabel2[[#This Row],[LPR 3]]&gt;0,1,0)</f>
        <v>1</v>
      </c>
      <c r="CG39" s="150">
        <f>IF(Tabel2[[#This Row],[LPR 4]]&gt;0,1,0)</f>
        <v>0</v>
      </c>
      <c r="CH39" s="150">
        <f>IF(Tabel2[[#This Row],[LPR 5]]&gt;0,1,0)</f>
        <v>0</v>
      </c>
      <c r="CI39" s="150">
        <f>IF(Tabel2[[#This Row],[LPR 6]]&gt;0,1,0)</f>
        <v>0</v>
      </c>
      <c r="CJ39" s="150">
        <f>IF(Tabel2[[#This Row],[LPR 7]]&gt;0,1,0)</f>
        <v>0</v>
      </c>
      <c r="CK39" s="150">
        <f>IF(Tabel2[[#This Row],[LPR 8]]&gt;0,1,0)</f>
        <v>0</v>
      </c>
      <c r="CL39" s="150">
        <f>IF(Tabel2[[#This Row],[LPR 9]]&gt;0,1,0)</f>
        <v>0</v>
      </c>
      <c r="CM39" s="150">
        <f>IF(Tabel2[[#This Row],[LPR 10]]&gt;0,1,0)</f>
        <v>0</v>
      </c>
      <c r="CN39" s="150">
        <f>SUM(Tabel7[[#This Row],[sep]:[jun]])</f>
        <v>1</v>
      </c>
      <c r="CO39" s="22" t="str">
        <f t="shared" si="1"/>
        <v/>
      </c>
      <c r="CP39" s="22" t="str">
        <f t="shared" si="2"/>
        <v/>
      </c>
      <c r="CQ39" s="22" t="str">
        <f t="shared" si="3"/>
        <v/>
      </c>
      <c r="CR39" s="22" t="str">
        <f t="shared" si="4"/>
        <v/>
      </c>
      <c r="CS39" s="22" t="str">
        <f t="shared" si="5"/>
        <v/>
      </c>
    </row>
    <row r="40" spans="1:97" x14ac:dyDescent="0.3">
      <c r="A40" s="22" t="s">
        <v>190</v>
      </c>
      <c r="B40" s="22" t="s">
        <v>149</v>
      </c>
      <c r="D40" s="22" t="s">
        <v>163</v>
      </c>
      <c r="E40" t="s">
        <v>215</v>
      </c>
      <c r="F40" s="22">
        <v>118935</v>
      </c>
      <c r="G40" s="25" t="s">
        <v>201</v>
      </c>
      <c r="H40" s="142">
        <f>Tabel2[[#This Row],[pnt t/m 2021/22]]+Tabel2[[#This Row],[pnt 2022/2023]]</f>
        <v>310</v>
      </c>
      <c r="I40">
        <v>2012</v>
      </c>
      <c r="J40">
        <v>2022</v>
      </c>
      <c r="K40" s="24">
        <f>Tabel2[[#This Row],[ijkdatum]]-Tabel2[[#This Row],[Geboren]]</f>
        <v>10</v>
      </c>
      <c r="L40" s="26">
        <f>Tabel2[[#This Row],[TTL 1]]+Tabel2[[#This Row],[TTL 2]]+Tabel2[[#This Row],[TTL 3]]+Tabel2[[#This Row],[TTL 4]]+Tabel2[[#This Row],[TTL 5]]+Tabel2[[#This Row],[TTL 6]]+Tabel2[[#This Row],[TTL 7]]+Tabel2[[#This Row],[TTL 8]]+Tabel2[[#This Row],[TTL 9]]+Tabel2[[#This Row],[TTL 10]]</f>
        <v>0</v>
      </c>
      <c r="M40" s="141">
        <v>310</v>
      </c>
      <c r="O40">
        <v>1</v>
      </c>
      <c r="S40" s="23">
        <f>SUM(Tabel2[[#This Row],[V 1]]*10+Tabel2[[#This Row],[GT 1]])/Tabel2[[#This Row],[AW 1]]*10+Tabel2[[#This Row],[BONUS 1]]</f>
        <v>0</v>
      </c>
      <c r="U40">
        <v>1</v>
      </c>
      <c r="Y40" s="23">
        <f>SUM(Tabel2[[#This Row],[V 2]]*10+Tabel2[[#This Row],[GT 2]])/Tabel2[[#This Row],[AW 2]]*10+Tabel2[[#This Row],[BONUS 2]]</f>
        <v>0</v>
      </c>
      <c r="AA40">
        <v>1</v>
      </c>
      <c r="AE40" s="23">
        <f>SUM(Tabel2[[#This Row],[V 3]]*10+Tabel2[[#This Row],[GT 3]])/Tabel2[[#This Row],[AW 3]]*10+Tabel2[[#This Row],[BONUS 3]]</f>
        <v>0</v>
      </c>
      <c r="AG40">
        <v>1</v>
      </c>
      <c r="AK40" s="23">
        <f>SUM(Tabel2[[#This Row],[V 4]]*10+Tabel2[[#This Row],[GT 4]])/Tabel2[[#This Row],[AW 4]]*10+Tabel2[[#This Row],[BONUS 4]]</f>
        <v>0</v>
      </c>
      <c r="AM40">
        <v>1</v>
      </c>
      <c r="AQ40" s="23">
        <f>SUM(Tabel2[[#This Row],[V 5]]*10+Tabel2[[#This Row],[GT 5]])/Tabel2[[#This Row],[AW 5]]*10+Tabel2[[#This Row],[BONUS 5]]</f>
        <v>0</v>
      </c>
      <c r="AS40">
        <v>1</v>
      </c>
      <c r="AW40" s="23">
        <f>SUM(Tabel2[[#This Row],[V 6]]*10+Tabel2[[#This Row],[GT 6]])/Tabel2[[#This Row],[AW 6]]*10+Tabel2[[#This Row],[BONUS 6]]</f>
        <v>0</v>
      </c>
      <c r="AY40">
        <v>1</v>
      </c>
      <c r="BC40" s="23">
        <f>SUM(Tabel2[[#This Row],[V 7]]*10+Tabel2[[#This Row],[GT 7]])/Tabel2[[#This Row],[AW 7]]*10+Tabel2[[#This Row],[BONUS 7]]</f>
        <v>0</v>
      </c>
      <c r="BE40">
        <v>1</v>
      </c>
      <c r="BI40" s="23">
        <f>SUM(Tabel2[[#This Row],[V 8]]*10+Tabel2[[#This Row],[GT 8]])/Tabel2[[#This Row],[AW 8]]*10+Tabel2[[#This Row],[BONUS 8]]</f>
        <v>0</v>
      </c>
      <c r="BK40">
        <v>1</v>
      </c>
      <c r="BO40" s="23">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0" s="22">
        <v>250</v>
      </c>
      <c r="BX40" s="30">
        <f>Tabel2[[#This Row],[Diploma]]-Tabel2[[#This Row],[Uitgeschreven]]</f>
        <v>0</v>
      </c>
      <c r="BY40" s="2" t="str">
        <f t="shared" si="7"/>
        <v>geen actie</v>
      </c>
      <c r="CA40" s="150">
        <f>Tabel2[[#This Row],[pnt t/m 2021/22]]</f>
        <v>310</v>
      </c>
      <c r="CB40" s="150">
        <f>Tabel2[[#This Row],[pnt 2022/2023]]</f>
        <v>0</v>
      </c>
      <c r="CC40" s="150">
        <f t="shared" si="6"/>
        <v>310</v>
      </c>
      <c r="CD40" s="150">
        <f>IF(Tabel2[[#This Row],[LPR 1]]&gt;0,1,0)</f>
        <v>0</v>
      </c>
      <c r="CE40" s="150">
        <f>IF(Tabel2[[#This Row],[LPR 2]]&gt;0,1,0)</f>
        <v>0</v>
      </c>
      <c r="CF40" s="150">
        <f>IF(Tabel2[[#This Row],[LPR 3]]&gt;0,1,0)</f>
        <v>0</v>
      </c>
      <c r="CG40" s="150">
        <f>IF(Tabel2[[#This Row],[LPR 4]]&gt;0,1,0)</f>
        <v>0</v>
      </c>
      <c r="CH40" s="150">
        <f>IF(Tabel2[[#This Row],[LPR 5]]&gt;0,1,0)</f>
        <v>0</v>
      </c>
      <c r="CI40" s="150">
        <f>IF(Tabel2[[#This Row],[LPR 6]]&gt;0,1,0)</f>
        <v>0</v>
      </c>
      <c r="CJ40" s="150">
        <f>IF(Tabel2[[#This Row],[LPR 7]]&gt;0,1,0)</f>
        <v>0</v>
      </c>
      <c r="CK40" s="150">
        <f>IF(Tabel2[[#This Row],[LPR 8]]&gt;0,1,0)</f>
        <v>0</v>
      </c>
      <c r="CL40" s="150">
        <f>IF(Tabel2[[#This Row],[LPR 9]]&gt;0,1,0)</f>
        <v>0</v>
      </c>
      <c r="CM40" s="150">
        <f>IF(Tabel2[[#This Row],[LPR 10]]&gt;0,1,0)</f>
        <v>0</v>
      </c>
      <c r="CN40" s="150">
        <f>SUM(Tabel7[[#This Row],[sep]:[jun]])</f>
        <v>0</v>
      </c>
      <c r="CO40" s="22" t="str">
        <f t="shared" si="1"/>
        <v/>
      </c>
      <c r="CP40" s="22" t="str">
        <f t="shared" si="2"/>
        <v/>
      </c>
      <c r="CQ40" s="22" t="str">
        <f t="shared" si="3"/>
        <v/>
      </c>
      <c r="CR40" s="22" t="str">
        <f t="shared" si="4"/>
        <v/>
      </c>
      <c r="CS40" s="22" t="str">
        <f t="shared" si="5"/>
        <v/>
      </c>
    </row>
    <row r="41" spans="1:97" x14ac:dyDescent="0.3">
      <c r="A41" s="22" t="s">
        <v>153</v>
      </c>
      <c r="B41" s="22" t="s">
        <v>149</v>
      </c>
      <c r="D41" s="22" t="s">
        <v>160</v>
      </c>
      <c r="E41" t="s">
        <v>216</v>
      </c>
      <c r="F41" s="22">
        <v>120153</v>
      </c>
      <c r="G41" s="25" t="s">
        <v>217</v>
      </c>
      <c r="H41" s="142">
        <f>Tabel2[[#This Row],[pnt t/m 2021/22]]+Tabel2[[#This Row],[pnt 2022/2023]]</f>
        <v>958.20202020202021</v>
      </c>
      <c r="I41">
        <v>2013</v>
      </c>
      <c r="J41">
        <v>2022</v>
      </c>
      <c r="K41" s="24">
        <f>Tabel2[[#This Row],[ijkdatum]]-Tabel2[[#This Row],[Geboren]]</f>
        <v>9</v>
      </c>
      <c r="L41" s="26">
        <f>Tabel2[[#This Row],[TTL 1]]+Tabel2[[#This Row],[TTL 2]]+Tabel2[[#This Row],[TTL 3]]+Tabel2[[#This Row],[TTL 4]]+Tabel2[[#This Row],[TTL 5]]+Tabel2[[#This Row],[TTL 6]]+Tabel2[[#This Row],[TTL 7]]+Tabel2[[#This Row],[TTL 8]]+Tabel2[[#This Row],[TTL 9]]+Tabel2[[#This Row],[TTL 10]]</f>
        <v>148.57142857142858</v>
      </c>
      <c r="M41" s="141">
        <v>809.63059163059165</v>
      </c>
      <c r="O41">
        <v>1</v>
      </c>
      <c r="S41" s="23">
        <f>SUM(Tabel2[[#This Row],[V 1]]*10+Tabel2[[#This Row],[GT 1]])/Tabel2[[#This Row],[AW 1]]*10+Tabel2[[#This Row],[BONUS 1]]</f>
        <v>0</v>
      </c>
      <c r="T41">
        <v>7</v>
      </c>
      <c r="U41">
        <v>7</v>
      </c>
      <c r="V41">
        <v>7</v>
      </c>
      <c r="W41">
        <v>34</v>
      </c>
      <c r="Y41" s="23">
        <f>SUM(Tabel2[[#This Row],[V 2]]*10+Tabel2[[#This Row],[GT 2]])/Tabel2[[#This Row],[AW 2]]*10+Tabel2[[#This Row],[BONUS 2]]</f>
        <v>148.57142857142858</v>
      </c>
      <c r="AA41">
        <v>1</v>
      </c>
      <c r="AE41" s="23">
        <f>SUM(Tabel2[[#This Row],[V 3]]*10+Tabel2[[#This Row],[GT 3]])/Tabel2[[#This Row],[AW 3]]*10+Tabel2[[#This Row],[BONUS 3]]</f>
        <v>0</v>
      </c>
      <c r="AG41">
        <v>1</v>
      </c>
      <c r="AK41" s="23">
        <f>SUM(Tabel2[[#This Row],[V 4]]*10+Tabel2[[#This Row],[GT 4]])/Tabel2[[#This Row],[AW 4]]*10+Tabel2[[#This Row],[BONUS 4]]</f>
        <v>0</v>
      </c>
      <c r="AM41">
        <v>1</v>
      </c>
      <c r="AQ41" s="23">
        <f>SUM(Tabel2[[#This Row],[V 5]]*10+Tabel2[[#This Row],[GT 5]])/Tabel2[[#This Row],[AW 5]]*10+Tabel2[[#This Row],[BONUS 5]]</f>
        <v>0</v>
      </c>
      <c r="AS41">
        <v>1</v>
      </c>
      <c r="AW41" s="23">
        <f>SUM(Tabel2[[#This Row],[V 6]]*10+Tabel2[[#This Row],[GT 6]])/Tabel2[[#This Row],[AW 6]]*10+Tabel2[[#This Row],[BONUS 6]]</f>
        <v>0</v>
      </c>
      <c r="AY41">
        <v>1</v>
      </c>
      <c r="BC41" s="23">
        <f>SUM(Tabel2[[#This Row],[V 7]]*10+Tabel2[[#This Row],[GT 7]])/Tabel2[[#This Row],[AW 7]]*10+Tabel2[[#This Row],[BONUS 7]]</f>
        <v>0</v>
      </c>
      <c r="BE41">
        <v>1</v>
      </c>
      <c r="BI41" s="23">
        <f>SUM(Tabel2[[#This Row],[V 8]]*10+Tabel2[[#This Row],[GT 8]])/Tabel2[[#This Row],[AW 8]]*10+Tabel2[[#This Row],[BONUS 8]]</f>
        <v>0</v>
      </c>
      <c r="BK41">
        <v>1</v>
      </c>
      <c r="BO41" s="23">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41" s="22">
        <v>750</v>
      </c>
      <c r="BX41" s="30">
        <f>Tabel2[[#This Row],[Diploma]]-Tabel2[[#This Row],[Uitgeschreven]]</f>
        <v>0</v>
      </c>
      <c r="BY41" s="2" t="str">
        <f t="shared" si="7"/>
        <v>geen actie</v>
      </c>
      <c r="CA41" s="150">
        <f>Tabel2[[#This Row],[pnt t/m 2021/22]]</f>
        <v>809.63059163059165</v>
      </c>
      <c r="CB41" s="150">
        <f>Tabel2[[#This Row],[pnt 2022/2023]]</f>
        <v>148.57142857142858</v>
      </c>
      <c r="CC41" s="150">
        <f t="shared" si="6"/>
        <v>958.20202020202021</v>
      </c>
      <c r="CD41" s="150">
        <f>IF(Tabel2[[#This Row],[LPR 1]]&gt;0,1,0)</f>
        <v>0</v>
      </c>
      <c r="CE41" s="150">
        <f>IF(Tabel2[[#This Row],[LPR 2]]&gt;0,1,0)</f>
        <v>1</v>
      </c>
      <c r="CF41" s="150">
        <f>IF(Tabel2[[#This Row],[LPR 3]]&gt;0,1,0)</f>
        <v>0</v>
      </c>
      <c r="CG41" s="150">
        <f>IF(Tabel2[[#This Row],[LPR 4]]&gt;0,1,0)</f>
        <v>0</v>
      </c>
      <c r="CH41" s="150">
        <f>IF(Tabel2[[#This Row],[LPR 5]]&gt;0,1,0)</f>
        <v>0</v>
      </c>
      <c r="CI41" s="150">
        <f>IF(Tabel2[[#This Row],[LPR 6]]&gt;0,1,0)</f>
        <v>0</v>
      </c>
      <c r="CJ41" s="150">
        <f>IF(Tabel2[[#This Row],[LPR 7]]&gt;0,1,0)</f>
        <v>0</v>
      </c>
      <c r="CK41" s="150">
        <f>IF(Tabel2[[#This Row],[LPR 8]]&gt;0,1,0)</f>
        <v>0</v>
      </c>
      <c r="CL41" s="150">
        <f>IF(Tabel2[[#This Row],[LPR 9]]&gt;0,1,0)</f>
        <v>0</v>
      </c>
      <c r="CM41" s="150">
        <f>IF(Tabel2[[#This Row],[LPR 10]]&gt;0,1,0)</f>
        <v>0</v>
      </c>
      <c r="CN41" s="150">
        <f>SUM(Tabel7[[#This Row],[sep]:[jun]])</f>
        <v>1</v>
      </c>
      <c r="CO41" s="22" t="str">
        <f t="shared" si="1"/>
        <v/>
      </c>
      <c r="CP41" s="22" t="str">
        <f t="shared" si="2"/>
        <v/>
      </c>
      <c r="CQ41" s="22" t="str">
        <f t="shared" si="3"/>
        <v/>
      </c>
      <c r="CR41" s="22" t="str">
        <f t="shared" si="4"/>
        <v/>
      </c>
      <c r="CS41" s="22" t="str">
        <f t="shared" si="5"/>
        <v/>
      </c>
    </row>
    <row r="42" spans="1:97" x14ac:dyDescent="0.3">
      <c r="A42" s="22" t="s">
        <v>153</v>
      </c>
      <c r="B42" s="22" t="s">
        <v>149</v>
      </c>
      <c r="D42" s="22" t="s">
        <v>150</v>
      </c>
      <c r="E42" t="s">
        <v>218</v>
      </c>
      <c r="F42" s="22">
        <v>119892</v>
      </c>
      <c r="G42" s="25" t="s">
        <v>162</v>
      </c>
      <c r="H42" s="142">
        <f>Tabel2[[#This Row],[pnt t/m 2021/22]]+Tabel2[[#This Row],[pnt 2022/2023]]</f>
        <v>32</v>
      </c>
      <c r="I42">
        <v>2011</v>
      </c>
      <c r="J42">
        <v>2023</v>
      </c>
      <c r="K42" s="24">
        <f>Tabel2[[#This Row],[ijkdatum]]-Tabel2[[#This Row],[Geboren]]</f>
        <v>12</v>
      </c>
      <c r="L42" s="26">
        <f>Tabel2[[#This Row],[TTL 1]]+Tabel2[[#This Row],[TTL 2]]+Tabel2[[#This Row],[TTL 3]]+Tabel2[[#This Row],[TTL 4]]+Tabel2[[#This Row],[TTL 5]]+Tabel2[[#This Row],[TTL 6]]+Tabel2[[#This Row],[TTL 7]]+Tabel2[[#This Row],[TTL 8]]+Tabel2[[#This Row],[TTL 9]]+Tabel2[[#This Row],[TTL 10]]</f>
        <v>32</v>
      </c>
      <c r="M42" s="141"/>
      <c r="O42">
        <v>1</v>
      </c>
      <c r="S42" s="23">
        <f>SUM(Tabel2[[#This Row],[V 1]]*10+Tabel2[[#This Row],[GT 1]])/Tabel2[[#This Row],[AW 1]]*10+Tabel2[[#This Row],[BONUS 1]]</f>
        <v>0</v>
      </c>
      <c r="U42">
        <v>1</v>
      </c>
      <c r="Y42" s="23">
        <f>SUM(Tabel2[[#This Row],[V 2]]*10+Tabel2[[#This Row],[GT 2]])/Tabel2[[#This Row],[AW 2]]*10+Tabel2[[#This Row],[BONUS 2]]</f>
        <v>0</v>
      </c>
      <c r="Z42">
        <v>7</v>
      </c>
      <c r="AA42">
        <v>5</v>
      </c>
      <c r="AB42">
        <v>1</v>
      </c>
      <c r="AC42">
        <v>6</v>
      </c>
      <c r="AE42" s="23">
        <f>SUM(Tabel2[[#This Row],[V 3]]*10+Tabel2[[#This Row],[GT 3]])/Tabel2[[#This Row],[AW 3]]*10+Tabel2[[#This Row],[BONUS 3]]</f>
        <v>32</v>
      </c>
      <c r="AG42">
        <v>1</v>
      </c>
      <c r="AK42" s="23">
        <f>SUM(Tabel2[[#This Row],[V 4]]*10+Tabel2[[#This Row],[GT 4]])/Tabel2[[#This Row],[AW 4]]*10+Tabel2[[#This Row],[BONUS 4]]</f>
        <v>0</v>
      </c>
      <c r="AM42">
        <v>1</v>
      </c>
      <c r="AQ42" s="23">
        <f>SUM(Tabel2[[#This Row],[V 5]]*10+Tabel2[[#This Row],[GT 5]])/Tabel2[[#This Row],[AW 5]]*10+Tabel2[[#This Row],[BONUS 5]]</f>
        <v>0</v>
      </c>
      <c r="AS42">
        <v>1</v>
      </c>
      <c r="AW42" s="23">
        <f>SUM(Tabel2[[#This Row],[V 6]]*10+Tabel2[[#This Row],[GT 6]])/Tabel2[[#This Row],[AW 6]]*10+Tabel2[[#This Row],[BONUS 6]]</f>
        <v>0</v>
      </c>
      <c r="AY42">
        <v>1</v>
      </c>
      <c r="BC42" s="23">
        <f>SUM(Tabel2[[#This Row],[V 7]]*10+Tabel2[[#This Row],[GT 7]])/Tabel2[[#This Row],[AW 7]]*10+Tabel2[[#This Row],[BONUS 7]]</f>
        <v>0</v>
      </c>
      <c r="BE42">
        <v>1</v>
      </c>
      <c r="BI42" s="23">
        <f>SUM(Tabel2[[#This Row],[V 8]]*10+Tabel2[[#This Row],[GT 8]])/Tabel2[[#This Row],[AW 8]]*10+Tabel2[[#This Row],[BONUS 8]]</f>
        <v>0</v>
      </c>
      <c r="BK42">
        <v>1</v>
      </c>
      <c r="BO42" s="23">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2" s="22">
        <v>0</v>
      </c>
      <c r="BX42" s="30">
        <f>Tabel2[[#This Row],[Diploma]]-Tabel2[[#This Row],[Uitgeschreven]]</f>
        <v>0</v>
      </c>
      <c r="BY42" s="2" t="str">
        <f t="shared" si="7"/>
        <v>geen actie</v>
      </c>
      <c r="CA42" s="150">
        <f>Tabel2[[#This Row],[pnt t/m 2021/22]]</f>
        <v>0</v>
      </c>
      <c r="CB42" s="150">
        <f>Tabel2[[#This Row],[pnt 2022/2023]]</f>
        <v>32</v>
      </c>
      <c r="CC42" s="150">
        <f t="shared" si="6"/>
        <v>32</v>
      </c>
      <c r="CD42" s="150">
        <f>IF(Tabel2[[#This Row],[LPR 1]]&gt;0,1,0)</f>
        <v>0</v>
      </c>
      <c r="CE42" s="150">
        <f>IF(Tabel2[[#This Row],[LPR 2]]&gt;0,1,0)</f>
        <v>0</v>
      </c>
      <c r="CF42" s="150">
        <f>IF(Tabel2[[#This Row],[LPR 3]]&gt;0,1,0)</f>
        <v>1</v>
      </c>
      <c r="CG42" s="150">
        <f>IF(Tabel2[[#This Row],[LPR 4]]&gt;0,1,0)</f>
        <v>0</v>
      </c>
      <c r="CH42" s="150">
        <f>IF(Tabel2[[#This Row],[LPR 5]]&gt;0,1,0)</f>
        <v>0</v>
      </c>
      <c r="CI42" s="150">
        <f>IF(Tabel2[[#This Row],[LPR 6]]&gt;0,1,0)</f>
        <v>0</v>
      </c>
      <c r="CJ42" s="150">
        <f>IF(Tabel2[[#This Row],[LPR 7]]&gt;0,1,0)</f>
        <v>0</v>
      </c>
      <c r="CK42" s="150">
        <f>IF(Tabel2[[#This Row],[LPR 8]]&gt;0,1,0)</f>
        <v>0</v>
      </c>
      <c r="CL42" s="150">
        <f>IF(Tabel2[[#This Row],[LPR 9]]&gt;0,1,0)</f>
        <v>0</v>
      </c>
      <c r="CM42" s="150">
        <f>IF(Tabel2[[#This Row],[LPR 10]]&gt;0,1,0)</f>
        <v>0</v>
      </c>
      <c r="CN42" s="150">
        <f>SUM(Tabel7[[#This Row],[sep]:[jun]])</f>
        <v>1</v>
      </c>
      <c r="CO42" s="22" t="str">
        <f t="shared" si="1"/>
        <v/>
      </c>
      <c r="CP42" s="22" t="str">
        <f t="shared" si="2"/>
        <v/>
      </c>
      <c r="CQ42" s="22" t="str">
        <f t="shared" si="3"/>
        <v/>
      </c>
      <c r="CR42" s="22" t="str">
        <f t="shared" si="4"/>
        <v/>
      </c>
      <c r="CS42" s="22" t="str">
        <f t="shared" si="5"/>
        <v/>
      </c>
    </row>
    <row r="43" spans="1:97" x14ac:dyDescent="0.3">
      <c r="A43" s="22" t="s">
        <v>156</v>
      </c>
      <c r="B43" s="22" t="s">
        <v>149</v>
      </c>
      <c r="D43" s="22" t="s">
        <v>163</v>
      </c>
      <c r="E43" t="s">
        <v>219</v>
      </c>
      <c r="F43" s="22">
        <v>118287</v>
      </c>
      <c r="G43" s="25" t="s">
        <v>171</v>
      </c>
      <c r="H43" s="142">
        <f>Tabel2[[#This Row],[pnt t/m 2021/22]]+Tabel2[[#This Row],[pnt 2022/2023]]</f>
        <v>139.33333333333331</v>
      </c>
      <c r="I43">
        <v>2005</v>
      </c>
      <c r="J43">
        <v>2022</v>
      </c>
      <c r="K43" s="24">
        <f>Tabel2[[#This Row],[ijkdatum]]-Tabel2[[#This Row],[Geboren]]</f>
        <v>17</v>
      </c>
      <c r="L43" s="26">
        <f>Tabel2[[#This Row],[TTL 1]]+Tabel2[[#This Row],[TTL 2]]+Tabel2[[#This Row],[TTL 3]]+Tabel2[[#This Row],[TTL 4]]+Tabel2[[#This Row],[TTL 5]]+Tabel2[[#This Row],[TTL 6]]+Tabel2[[#This Row],[TTL 7]]+Tabel2[[#This Row],[TTL 8]]+Tabel2[[#This Row],[TTL 9]]+Tabel2[[#This Row],[TTL 10]]</f>
        <v>0</v>
      </c>
      <c r="M43" s="141">
        <v>139.33333333333331</v>
      </c>
      <c r="O43">
        <v>1</v>
      </c>
      <c r="S43" s="23">
        <f>SUM(Tabel2[[#This Row],[V 1]]*10+Tabel2[[#This Row],[GT 1]])/Tabel2[[#This Row],[AW 1]]*10+Tabel2[[#This Row],[BONUS 1]]</f>
        <v>0</v>
      </c>
      <c r="U43">
        <v>1</v>
      </c>
      <c r="Y43" s="23">
        <f>SUM(Tabel2[[#This Row],[V 2]]*10+Tabel2[[#This Row],[GT 2]])/Tabel2[[#This Row],[AW 2]]*10+Tabel2[[#This Row],[BONUS 2]]</f>
        <v>0</v>
      </c>
      <c r="AA43">
        <v>1</v>
      </c>
      <c r="AE43" s="23">
        <f>SUM(Tabel2[[#This Row],[V 3]]*10+Tabel2[[#This Row],[GT 3]])/Tabel2[[#This Row],[AW 3]]*10+Tabel2[[#This Row],[BONUS 3]]</f>
        <v>0</v>
      </c>
      <c r="AG43">
        <v>1</v>
      </c>
      <c r="AK43" s="23">
        <f>SUM(Tabel2[[#This Row],[V 4]]*10+Tabel2[[#This Row],[GT 4]])/Tabel2[[#This Row],[AW 4]]*10+Tabel2[[#This Row],[BONUS 4]]</f>
        <v>0</v>
      </c>
      <c r="AM43">
        <v>1</v>
      </c>
      <c r="AQ43" s="23">
        <f>SUM(Tabel2[[#This Row],[V 5]]*10+Tabel2[[#This Row],[GT 5]])/Tabel2[[#This Row],[AW 5]]*10+Tabel2[[#This Row],[BONUS 5]]</f>
        <v>0</v>
      </c>
      <c r="AS43">
        <v>1</v>
      </c>
      <c r="AW43" s="23">
        <f>SUM(Tabel2[[#This Row],[V 6]]*10+Tabel2[[#This Row],[GT 6]])/Tabel2[[#This Row],[AW 6]]*10+Tabel2[[#This Row],[BONUS 6]]</f>
        <v>0</v>
      </c>
      <c r="AY43">
        <v>1</v>
      </c>
      <c r="BC43" s="23">
        <f>SUM(Tabel2[[#This Row],[V 7]]*10+Tabel2[[#This Row],[GT 7]])/Tabel2[[#This Row],[AW 7]]*10+Tabel2[[#This Row],[BONUS 7]]</f>
        <v>0</v>
      </c>
      <c r="BE43">
        <v>1</v>
      </c>
      <c r="BI43" s="23">
        <f>SUM(Tabel2[[#This Row],[V 8]]*10+Tabel2[[#This Row],[GT 8]])/Tabel2[[#This Row],[AW 8]]*10+Tabel2[[#This Row],[BONUS 8]]</f>
        <v>0</v>
      </c>
      <c r="BK43">
        <v>1</v>
      </c>
      <c r="BO43" s="23">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30">
        <f>Tabel2[[#This Row],[Diploma]]-Tabel2[[#This Row],[Uitgeschreven]]</f>
        <v>0</v>
      </c>
      <c r="BY43" s="2" t="str">
        <f t="shared" si="7"/>
        <v>geen actie</v>
      </c>
      <c r="CA43" s="150">
        <f>Tabel2[[#This Row],[pnt t/m 2021/22]]</f>
        <v>139.33333333333331</v>
      </c>
      <c r="CB43" s="150">
        <f>Tabel2[[#This Row],[pnt 2022/2023]]</f>
        <v>0</v>
      </c>
      <c r="CC43" s="150">
        <f t="shared" si="6"/>
        <v>139.33333333333331</v>
      </c>
      <c r="CD43" s="150">
        <f>IF(Tabel2[[#This Row],[LPR 1]]&gt;0,1,0)</f>
        <v>0</v>
      </c>
      <c r="CE43" s="150">
        <f>IF(Tabel2[[#This Row],[LPR 2]]&gt;0,1,0)</f>
        <v>0</v>
      </c>
      <c r="CF43" s="150">
        <f>IF(Tabel2[[#This Row],[LPR 3]]&gt;0,1,0)</f>
        <v>0</v>
      </c>
      <c r="CG43" s="150">
        <f>IF(Tabel2[[#This Row],[LPR 4]]&gt;0,1,0)</f>
        <v>0</v>
      </c>
      <c r="CH43" s="150">
        <f>IF(Tabel2[[#This Row],[LPR 5]]&gt;0,1,0)</f>
        <v>0</v>
      </c>
      <c r="CI43" s="150">
        <f>IF(Tabel2[[#This Row],[LPR 6]]&gt;0,1,0)</f>
        <v>0</v>
      </c>
      <c r="CJ43" s="150">
        <f>IF(Tabel2[[#This Row],[LPR 7]]&gt;0,1,0)</f>
        <v>0</v>
      </c>
      <c r="CK43" s="150">
        <f>IF(Tabel2[[#This Row],[LPR 8]]&gt;0,1,0)</f>
        <v>0</v>
      </c>
      <c r="CL43" s="150">
        <f>IF(Tabel2[[#This Row],[LPR 9]]&gt;0,1,0)</f>
        <v>0</v>
      </c>
      <c r="CM43" s="150">
        <f>IF(Tabel2[[#This Row],[LPR 10]]&gt;0,1,0)</f>
        <v>0</v>
      </c>
      <c r="CN43" s="150">
        <f>SUM(Tabel7[[#This Row],[sep]:[jun]])</f>
        <v>0</v>
      </c>
      <c r="CO43" s="22" t="str">
        <f t="shared" si="1"/>
        <v/>
      </c>
      <c r="CP43" s="22" t="str">
        <f t="shared" si="2"/>
        <v/>
      </c>
      <c r="CQ43" s="22" t="str">
        <f t="shared" si="3"/>
        <v/>
      </c>
      <c r="CR43" s="22" t="str">
        <f t="shared" si="4"/>
        <v/>
      </c>
      <c r="CS43" s="22" t="str">
        <f t="shared" si="5"/>
        <v/>
      </c>
    </row>
    <row r="44" spans="1:97" x14ac:dyDescent="0.3">
      <c r="A44" s="22" t="s">
        <v>153</v>
      </c>
      <c r="B44" s="22" t="s">
        <v>149</v>
      </c>
      <c r="D44" s="22" t="s">
        <v>160</v>
      </c>
      <c r="E44" t="s">
        <v>220</v>
      </c>
      <c r="F44" s="22">
        <v>118706</v>
      </c>
      <c r="G44" s="25" t="s">
        <v>171</v>
      </c>
      <c r="H44" s="142">
        <f>Tabel2[[#This Row],[pnt t/m 2021/22]]+Tabel2[[#This Row],[pnt 2022/2023]]</f>
        <v>1432.6352813852816</v>
      </c>
      <c r="I44">
        <v>2012</v>
      </c>
      <c r="J44">
        <v>2022</v>
      </c>
      <c r="K44" s="24">
        <f>Tabel2[[#This Row],[ijkdatum]]-Tabel2[[#This Row],[Geboren]]</f>
        <v>10</v>
      </c>
      <c r="L44" s="26">
        <f>Tabel2[[#This Row],[TTL 1]]+Tabel2[[#This Row],[TTL 2]]+Tabel2[[#This Row],[TTL 3]]+Tabel2[[#This Row],[TTL 4]]+Tabel2[[#This Row],[TTL 5]]+Tabel2[[#This Row],[TTL 6]]+Tabel2[[#This Row],[TTL 7]]+Tabel2[[#This Row],[TTL 8]]+Tabel2[[#This Row],[TTL 9]]+Tabel2[[#This Row],[TTL 10]]</f>
        <v>150</v>
      </c>
      <c r="M44" s="153">
        <v>1282.6352813852816</v>
      </c>
      <c r="O44">
        <v>1</v>
      </c>
      <c r="S44" s="23">
        <f>SUM(Tabel2[[#This Row],[V 1]]*10+Tabel2[[#This Row],[GT 1]])/Tabel2[[#This Row],[AW 1]]*10+Tabel2[[#This Row],[BONUS 1]]</f>
        <v>0</v>
      </c>
      <c r="U44">
        <v>1</v>
      </c>
      <c r="Y44" s="23">
        <f>SUM(Tabel2[[#This Row],[V 2]]*10+Tabel2[[#This Row],[GT 2]])/Tabel2[[#This Row],[AW 2]]*10+Tabel2[[#This Row],[BONUS 2]]</f>
        <v>0</v>
      </c>
      <c r="Z44">
        <v>7</v>
      </c>
      <c r="AA44">
        <v>5</v>
      </c>
      <c r="AB44">
        <v>5</v>
      </c>
      <c r="AC44">
        <v>25</v>
      </c>
      <c r="AE44" s="23">
        <f>SUM(Tabel2[[#This Row],[V 3]]*10+Tabel2[[#This Row],[GT 3]])/Tabel2[[#This Row],[AW 3]]*10+Tabel2[[#This Row],[BONUS 3]]</f>
        <v>150</v>
      </c>
      <c r="AG44">
        <v>1</v>
      </c>
      <c r="AK44" s="23">
        <f>SUM(Tabel2[[#This Row],[V 4]]*10+Tabel2[[#This Row],[GT 4]])/Tabel2[[#This Row],[AW 4]]*10+Tabel2[[#This Row],[BONUS 4]]</f>
        <v>0</v>
      </c>
      <c r="AM44">
        <v>1</v>
      </c>
      <c r="AQ44" s="23">
        <f>SUM(Tabel2[[#This Row],[V 5]]*10+Tabel2[[#This Row],[GT 5]])/Tabel2[[#This Row],[AW 5]]*10+Tabel2[[#This Row],[BONUS 5]]</f>
        <v>0</v>
      </c>
      <c r="AS44">
        <v>1</v>
      </c>
      <c r="AW44" s="23">
        <f>SUM(Tabel2[[#This Row],[V 6]]*10+Tabel2[[#This Row],[GT 6]])/Tabel2[[#This Row],[AW 6]]*10+Tabel2[[#This Row],[BONUS 6]]</f>
        <v>0</v>
      </c>
      <c r="AY44">
        <v>1</v>
      </c>
      <c r="BC44" s="23">
        <f>SUM(Tabel2[[#This Row],[V 7]]*10+Tabel2[[#This Row],[GT 7]])/Tabel2[[#This Row],[AW 7]]*10+Tabel2[[#This Row],[BONUS 7]]</f>
        <v>0</v>
      </c>
      <c r="BE44">
        <v>1</v>
      </c>
      <c r="BI44" s="23">
        <f>SUM(Tabel2[[#This Row],[V 8]]*10+Tabel2[[#This Row],[GT 8]])/Tabel2[[#This Row],[AW 8]]*10+Tabel2[[#This Row],[BONUS 8]]</f>
        <v>0</v>
      </c>
      <c r="BK44">
        <v>1</v>
      </c>
      <c r="BO44" s="23">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4" s="22">
        <v>1000</v>
      </c>
      <c r="BX44" s="30">
        <f>Tabel2[[#This Row],[Diploma]]-Tabel2[[#This Row],[Uitgeschreven]]</f>
        <v>0</v>
      </c>
      <c r="BY44" s="2" t="str">
        <f t="shared" si="7"/>
        <v>geen actie</v>
      </c>
      <c r="CA44" s="150">
        <f>Tabel2[[#This Row],[pnt t/m 2021/22]]</f>
        <v>1282.6352813852816</v>
      </c>
      <c r="CB44" s="150">
        <f>Tabel2[[#This Row],[pnt 2022/2023]]</f>
        <v>150</v>
      </c>
      <c r="CC44" s="150">
        <f t="shared" si="6"/>
        <v>1432.6352813852816</v>
      </c>
      <c r="CD44" s="150">
        <f>IF(Tabel2[[#This Row],[LPR 1]]&gt;0,1,0)</f>
        <v>0</v>
      </c>
      <c r="CE44" s="150">
        <f>IF(Tabel2[[#This Row],[LPR 2]]&gt;0,1,0)</f>
        <v>0</v>
      </c>
      <c r="CF44" s="150">
        <f>IF(Tabel2[[#This Row],[LPR 3]]&gt;0,1,0)</f>
        <v>1</v>
      </c>
      <c r="CG44" s="150">
        <f>IF(Tabel2[[#This Row],[LPR 4]]&gt;0,1,0)</f>
        <v>0</v>
      </c>
      <c r="CH44" s="150">
        <f>IF(Tabel2[[#This Row],[LPR 5]]&gt;0,1,0)</f>
        <v>0</v>
      </c>
      <c r="CI44" s="150">
        <f>IF(Tabel2[[#This Row],[LPR 6]]&gt;0,1,0)</f>
        <v>0</v>
      </c>
      <c r="CJ44" s="150">
        <f>IF(Tabel2[[#This Row],[LPR 7]]&gt;0,1,0)</f>
        <v>0</v>
      </c>
      <c r="CK44" s="150">
        <f>IF(Tabel2[[#This Row],[LPR 8]]&gt;0,1,0)</f>
        <v>0</v>
      </c>
      <c r="CL44" s="150">
        <f>IF(Tabel2[[#This Row],[LPR 9]]&gt;0,1,0)</f>
        <v>0</v>
      </c>
      <c r="CM44" s="150">
        <f>IF(Tabel2[[#This Row],[LPR 10]]&gt;0,1,0)</f>
        <v>0</v>
      </c>
      <c r="CN44" s="150">
        <f>SUM(Tabel7[[#This Row],[sep]:[jun]])</f>
        <v>1</v>
      </c>
      <c r="CO44" s="22" t="str">
        <f t="shared" si="1"/>
        <v/>
      </c>
      <c r="CP44" s="22" t="str">
        <f t="shared" si="2"/>
        <v/>
      </c>
      <c r="CQ44" s="22" t="str">
        <f t="shared" si="3"/>
        <v/>
      </c>
      <c r="CR44" s="22" t="str">
        <f t="shared" si="4"/>
        <v/>
      </c>
      <c r="CS44" s="22" t="str">
        <f t="shared" si="5"/>
        <v/>
      </c>
    </row>
    <row r="45" spans="1:97" x14ac:dyDescent="0.3">
      <c r="A45" s="22" t="s">
        <v>153</v>
      </c>
      <c r="B45" s="22" t="s">
        <v>149</v>
      </c>
      <c r="D45" s="22" t="s">
        <v>150</v>
      </c>
      <c r="E45" t="s">
        <v>221</v>
      </c>
      <c r="F45" s="22">
        <v>120456</v>
      </c>
      <c r="G45" s="25" t="s">
        <v>171</v>
      </c>
      <c r="H45" s="23">
        <f>Tabel2[[#This Row],[pnt t/m 2021/22]]+Tabel2[[#This Row],[pnt 2022/2023]]</f>
        <v>227.53968253968256</v>
      </c>
      <c r="I45">
        <v>2013</v>
      </c>
      <c r="J45">
        <v>2022</v>
      </c>
      <c r="K45" s="24">
        <f>Tabel2[[#This Row],[ijkdatum]]-Tabel2[[#This Row],[Geboren]]</f>
        <v>9</v>
      </c>
      <c r="L45" s="26">
        <f>Tabel2[[#This Row],[TTL 1]]+Tabel2[[#This Row],[TTL 2]]+Tabel2[[#This Row],[TTL 3]]+Tabel2[[#This Row],[TTL 4]]+Tabel2[[#This Row],[TTL 5]]+Tabel2[[#This Row],[TTL 6]]+Tabel2[[#This Row],[TTL 7]]+Tabel2[[#This Row],[TTL 8]]+Tabel2[[#This Row],[TTL 9]]+Tabel2[[#This Row],[TTL 10]]</f>
        <v>98.857142857142861</v>
      </c>
      <c r="M45" s="153">
        <v>128.6825396825397</v>
      </c>
      <c r="O45">
        <v>1</v>
      </c>
      <c r="S45" s="153">
        <f>SUM(Tabel2[[#This Row],[V 1]]*10+Tabel2[[#This Row],[GT 1]])/Tabel2[[#This Row],[AW 1]]*10+Tabel2[[#This Row],[BONUS 1]]</f>
        <v>0</v>
      </c>
      <c r="T45">
        <v>7</v>
      </c>
      <c r="U45">
        <v>7</v>
      </c>
      <c r="V45">
        <v>2</v>
      </c>
      <c r="W45">
        <v>17</v>
      </c>
      <c r="Y45" s="23">
        <f>SUM(Tabel2[[#This Row],[V 2]]*10+Tabel2[[#This Row],[GT 2]])/Tabel2[[#This Row],[AW 2]]*10+Tabel2[[#This Row],[BONUS 2]]</f>
        <v>52.857142857142854</v>
      </c>
      <c r="Z45">
        <v>8</v>
      </c>
      <c r="AA45">
        <v>5</v>
      </c>
      <c r="AB45">
        <v>1</v>
      </c>
      <c r="AC45">
        <v>13</v>
      </c>
      <c r="AE45" s="23">
        <f>SUM(Tabel2[[#This Row],[V 3]]*10+Tabel2[[#This Row],[GT 3]])/Tabel2[[#This Row],[AW 3]]*10+Tabel2[[#This Row],[BONUS 3]]</f>
        <v>46</v>
      </c>
      <c r="AG45">
        <v>1</v>
      </c>
      <c r="AK45" s="23">
        <f>SUM(Tabel2[[#This Row],[V 4]]*10+Tabel2[[#This Row],[GT 4]])/Tabel2[[#This Row],[AW 4]]*10+Tabel2[[#This Row],[BONUS 4]]</f>
        <v>0</v>
      </c>
      <c r="AM45">
        <v>1</v>
      </c>
      <c r="AQ45" s="23">
        <f>SUM(Tabel2[[#This Row],[V 5]]*10+Tabel2[[#This Row],[GT 5]])/Tabel2[[#This Row],[AW 5]]*10+Tabel2[[#This Row],[BONUS 5]]</f>
        <v>0</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5" s="22">
        <v>0</v>
      </c>
      <c r="BX45" s="22">
        <f>Tabel2[[#This Row],[Diploma]]-Tabel2[[#This Row],[Uitgeschreven]]</f>
        <v>0</v>
      </c>
      <c r="BY45" s="155" t="str">
        <f t="shared" si="7"/>
        <v>geen actie</v>
      </c>
      <c r="CA45" s="150">
        <f>Tabel2[[#This Row],[pnt t/m 2021/22]]</f>
        <v>128.6825396825397</v>
      </c>
      <c r="CB45" s="150">
        <f>Tabel2[[#This Row],[pnt 2022/2023]]</f>
        <v>98.857142857142861</v>
      </c>
      <c r="CC45" s="150">
        <f t="shared" si="6"/>
        <v>227.53968253968256</v>
      </c>
      <c r="CD45" s="150">
        <f>IF(Tabel2[[#This Row],[LPR 1]]&gt;0,1,0)</f>
        <v>0</v>
      </c>
      <c r="CE45" s="150">
        <f>IF(Tabel2[[#This Row],[LPR 2]]&gt;0,1,0)</f>
        <v>1</v>
      </c>
      <c r="CF45" s="150">
        <f>IF(Tabel2[[#This Row],[LPR 3]]&gt;0,1,0)</f>
        <v>1</v>
      </c>
      <c r="CG45" s="150">
        <f>IF(Tabel2[[#This Row],[LPR 4]]&gt;0,1,0)</f>
        <v>0</v>
      </c>
      <c r="CH45" s="150">
        <f>IF(Tabel2[[#This Row],[LPR 5]]&gt;0,1,0)</f>
        <v>0</v>
      </c>
      <c r="CI45" s="150">
        <f>IF(Tabel2[[#This Row],[LPR 6]]&gt;0,1,0)</f>
        <v>0</v>
      </c>
      <c r="CJ45" s="150">
        <f>IF(Tabel2[[#This Row],[LPR 7]]&gt;0,1,0)</f>
        <v>0</v>
      </c>
      <c r="CK45" s="150">
        <f>IF(Tabel2[[#This Row],[LPR 8]]&gt;0,1,0)</f>
        <v>0</v>
      </c>
      <c r="CL45" s="150">
        <f>IF(Tabel2[[#This Row],[LPR 9]]&gt;0,1,0)</f>
        <v>0</v>
      </c>
      <c r="CM45" s="150">
        <f>IF(Tabel2[[#This Row],[LPR 10]]&gt;0,1,0)</f>
        <v>0</v>
      </c>
      <c r="CN45" s="150">
        <f>SUM(Tabel7[[#This Row],[sep]:[jun]])</f>
        <v>2</v>
      </c>
      <c r="CO45" s="22" t="str">
        <f t="shared" si="1"/>
        <v/>
      </c>
      <c r="CP45" s="22" t="str">
        <f t="shared" si="2"/>
        <v/>
      </c>
      <c r="CQ45" s="22" t="str">
        <f t="shared" si="3"/>
        <v/>
      </c>
      <c r="CR45" s="22" t="str">
        <f t="shared" si="4"/>
        <v/>
      </c>
      <c r="CS45" s="22" t="str">
        <f t="shared" si="5"/>
        <v/>
      </c>
    </row>
    <row r="46" spans="1:97" x14ac:dyDescent="0.3">
      <c r="A46" s="22" t="s">
        <v>148</v>
      </c>
      <c r="B46" s="22" t="s">
        <v>149</v>
      </c>
      <c r="D46" s="22" t="s">
        <v>163</v>
      </c>
      <c r="E46" t="s">
        <v>222</v>
      </c>
      <c r="F46" s="22">
        <v>120641</v>
      </c>
      <c r="G46" s="25" t="s">
        <v>155</v>
      </c>
      <c r="H46" s="23">
        <f>Tabel2[[#This Row],[pnt t/m 2021/22]]+Tabel2[[#This Row],[pnt 2022/2023]]</f>
        <v>23.333333333333336</v>
      </c>
      <c r="I46">
        <v>2009</v>
      </c>
      <c r="J46">
        <v>2022</v>
      </c>
      <c r="K46" s="24">
        <f>Tabel2[[#This Row],[ijkdatum]]-Tabel2[[#This Row],[Geboren]]</f>
        <v>13</v>
      </c>
      <c r="L46" s="26">
        <f>Tabel2[[#This Row],[TTL 1]]+Tabel2[[#This Row],[TTL 2]]+Tabel2[[#This Row],[TTL 3]]+Tabel2[[#This Row],[TTL 4]]+Tabel2[[#This Row],[TTL 5]]+Tabel2[[#This Row],[TTL 6]]+Tabel2[[#This Row],[TTL 7]]+Tabel2[[#This Row],[TTL 8]]+Tabel2[[#This Row],[TTL 9]]+Tabel2[[#This Row],[TTL 10]]</f>
        <v>0</v>
      </c>
      <c r="M46" s="153">
        <v>23.333333333333336</v>
      </c>
      <c r="O46">
        <v>1</v>
      </c>
      <c r="S46" s="153">
        <f>SUM(Tabel2[[#This Row],[V 1]]*10+Tabel2[[#This Row],[GT 1]])/Tabel2[[#This Row],[AW 1]]*10+Tabel2[[#This Row],[BONUS 1]]</f>
        <v>0</v>
      </c>
      <c r="U46">
        <v>1</v>
      </c>
      <c r="Y46" s="153">
        <f>SUM(Tabel2[[#This Row],[V 2]]*10+Tabel2[[#This Row],[GT 2]])/Tabel2[[#This Row],[AW 2]]*10+Tabel2[[#This Row],[BONUS 2]]</f>
        <v>0</v>
      </c>
      <c r="AA46">
        <v>1</v>
      </c>
      <c r="AE46" s="153">
        <f>SUM(Tabel2[[#This Row],[V 3]]*10+Tabel2[[#This Row],[GT 3]])/Tabel2[[#This Row],[AW 3]]*10+Tabel2[[#This Row],[BONUS 3]]</f>
        <v>0</v>
      </c>
      <c r="AG46">
        <v>1</v>
      </c>
      <c r="AK46" s="153">
        <f>SUM(Tabel2[[#This Row],[V 4]]*10+Tabel2[[#This Row],[GT 4]])/Tabel2[[#This Row],[AW 4]]*10+Tabel2[[#This Row],[BONUS 4]]</f>
        <v>0</v>
      </c>
      <c r="AM46">
        <v>1</v>
      </c>
      <c r="AQ46" s="153">
        <f>SUM(Tabel2[[#This Row],[V 5]]*10+Tabel2[[#This Row],[GT 5]])/Tabel2[[#This Row],[AW 5]]*10+Tabel2[[#This Row],[BONUS 5]]</f>
        <v>0</v>
      </c>
      <c r="AS46">
        <v>1</v>
      </c>
      <c r="AW46" s="153">
        <f>SUM(Tabel2[[#This Row],[V 6]]*10+Tabel2[[#This Row],[GT 6]])/Tabel2[[#This Row],[AW 6]]*10+Tabel2[[#This Row],[BONUS 6]]</f>
        <v>0</v>
      </c>
      <c r="AY46">
        <v>1</v>
      </c>
      <c r="BC46" s="153">
        <f>SUM(Tabel2[[#This Row],[V 7]]*10+Tabel2[[#This Row],[GT 7]])/Tabel2[[#This Row],[AW 7]]*10+Tabel2[[#This Row],[BONUS 7]]</f>
        <v>0</v>
      </c>
      <c r="BE46">
        <v>1</v>
      </c>
      <c r="BI46" s="153">
        <f>SUM(Tabel2[[#This Row],[V 8]]*10+Tabel2[[#This Row],[GT 8]])/Tabel2[[#This Row],[AW 8]]*10+Tabel2[[#This Row],[BONUS 8]]</f>
        <v>0</v>
      </c>
      <c r="BK46">
        <v>1</v>
      </c>
      <c r="BO46" s="153">
        <f>SUM(Tabel2[[#This Row],[V 9]]*10+Tabel2[[#This Row],[GT 9]])/Tabel2[[#This Row],[AW 9]]*10+Tabel2[[#This Row],[BONUS 9]]</f>
        <v>0</v>
      </c>
      <c r="BQ46">
        <v>1</v>
      </c>
      <c r="BU46" s="23">
        <f>SUM(Tabel2[[#This Row],[V 10]]*10+Tabel2[[#This Row],[GT 10]])/Tabel2[[#This Row],[AW 10]]*10+Tabel2[[#This Row],[BONUS 10]]</f>
        <v>0</v>
      </c>
      <c r="BV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6" s="22">
        <v>0</v>
      </c>
      <c r="BX46" s="22">
        <f>Tabel2[[#This Row],[Diploma]]-Tabel2[[#This Row],[Uitgeschreven]]</f>
        <v>0</v>
      </c>
      <c r="BY46" s="155" t="str">
        <f t="shared" si="7"/>
        <v>geen actie</v>
      </c>
      <c r="CA46" s="150">
        <f>Tabel2[[#This Row],[pnt t/m 2021/22]]</f>
        <v>23.333333333333336</v>
      </c>
      <c r="CB46" s="150">
        <f>Tabel2[[#This Row],[pnt 2022/2023]]</f>
        <v>0</v>
      </c>
      <c r="CC46" s="150">
        <f t="shared" si="6"/>
        <v>23.333333333333336</v>
      </c>
      <c r="CD46" s="150">
        <f>IF(Tabel2[[#This Row],[LPR 1]]&gt;0,1,0)</f>
        <v>0</v>
      </c>
      <c r="CE46" s="150">
        <f>IF(Tabel2[[#This Row],[LPR 2]]&gt;0,1,0)</f>
        <v>0</v>
      </c>
      <c r="CF46" s="150">
        <f>IF(Tabel2[[#This Row],[LPR 3]]&gt;0,1,0)</f>
        <v>0</v>
      </c>
      <c r="CG46" s="150">
        <f>IF(Tabel2[[#This Row],[LPR 4]]&gt;0,1,0)</f>
        <v>0</v>
      </c>
      <c r="CH46" s="150">
        <f>IF(Tabel2[[#This Row],[LPR 5]]&gt;0,1,0)</f>
        <v>0</v>
      </c>
      <c r="CI46" s="150">
        <f>IF(Tabel2[[#This Row],[LPR 6]]&gt;0,1,0)</f>
        <v>0</v>
      </c>
      <c r="CJ46" s="150">
        <f>IF(Tabel2[[#This Row],[LPR 7]]&gt;0,1,0)</f>
        <v>0</v>
      </c>
      <c r="CK46" s="150">
        <f>IF(Tabel2[[#This Row],[LPR 8]]&gt;0,1,0)</f>
        <v>0</v>
      </c>
      <c r="CL46" s="150">
        <f>IF(Tabel2[[#This Row],[LPR 9]]&gt;0,1,0)</f>
        <v>0</v>
      </c>
      <c r="CM46" s="150">
        <f>IF(Tabel2[[#This Row],[LPR 10]]&gt;0,1,0)</f>
        <v>0</v>
      </c>
      <c r="CN46" s="150">
        <f>SUM(Tabel7[[#This Row],[sep]:[jun]])</f>
        <v>0</v>
      </c>
      <c r="CO46" s="22" t="str">
        <f t="shared" si="1"/>
        <v/>
      </c>
      <c r="CP46" s="22" t="str">
        <f t="shared" si="2"/>
        <v/>
      </c>
      <c r="CQ46" s="22" t="str">
        <f t="shared" si="3"/>
        <v/>
      </c>
      <c r="CR46" s="22" t="str">
        <f t="shared" si="4"/>
        <v/>
      </c>
      <c r="CS46" s="22" t="str">
        <f t="shared" si="5"/>
        <v/>
      </c>
    </row>
    <row r="47" spans="1:97" x14ac:dyDescent="0.3">
      <c r="A47" s="22" t="s">
        <v>173</v>
      </c>
      <c r="B47" s="22" t="s">
        <v>149</v>
      </c>
      <c r="D47" s="22" t="s">
        <v>163</v>
      </c>
      <c r="E47" t="s">
        <v>223</v>
      </c>
      <c r="F47" s="22">
        <v>117974</v>
      </c>
      <c r="G47" s="25" t="s">
        <v>224</v>
      </c>
      <c r="H47" s="142">
        <f>Tabel2[[#This Row],[pnt t/m 2021/22]]+Tabel2[[#This Row],[pnt 2022/2023]]</f>
        <v>740.34848484848476</v>
      </c>
      <c r="I47">
        <v>2011</v>
      </c>
      <c r="J47">
        <v>2022</v>
      </c>
      <c r="K47" s="24">
        <f>Tabel2[[#This Row],[ijkdatum]]-Tabel2[[#This Row],[Geboren]]</f>
        <v>11</v>
      </c>
      <c r="L47" s="26">
        <f>Tabel2[[#This Row],[TTL 1]]+Tabel2[[#This Row],[TTL 2]]+Tabel2[[#This Row],[TTL 3]]+Tabel2[[#This Row],[TTL 4]]+Tabel2[[#This Row],[TTL 5]]+Tabel2[[#This Row],[TTL 6]]+Tabel2[[#This Row],[TTL 7]]+Tabel2[[#This Row],[TTL 8]]+Tabel2[[#This Row],[TTL 9]]+Tabel2[[#This Row],[TTL 10]]</f>
        <v>0</v>
      </c>
      <c r="M47" s="141">
        <v>740.34848484848476</v>
      </c>
      <c r="O47">
        <v>1</v>
      </c>
      <c r="S47" s="23">
        <f>SUM(Tabel2[[#This Row],[V 1]]*10+Tabel2[[#This Row],[GT 1]])/Tabel2[[#This Row],[AW 1]]*10+Tabel2[[#This Row],[BONUS 1]]</f>
        <v>0</v>
      </c>
      <c r="U47">
        <v>1</v>
      </c>
      <c r="Y47" s="23">
        <f>SUM(Tabel2[[#This Row],[V 2]]*10+Tabel2[[#This Row],[GT 2]])/Tabel2[[#This Row],[AW 2]]*10+Tabel2[[#This Row],[BONUS 2]]</f>
        <v>0</v>
      </c>
      <c r="AA47">
        <v>1</v>
      </c>
      <c r="AE47" s="23">
        <f>SUM(Tabel2[[#This Row],[V 3]]*10+Tabel2[[#This Row],[GT 3]])/Tabel2[[#This Row],[AW 3]]*10+Tabel2[[#This Row],[BONUS 3]]</f>
        <v>0</v>
      </c>
      <c r="AG47">
        <v>1</v>
      </c>
      <c r="AK47" s="23">
        <f>SUM(Tabel2[[#This Row],[V 4]]*10+Tabel2[[#This Row],[GT 4]])/Tabel2[[#This Row],[AW 4]]*10+Tabel2[[#This Row],[BONUS 4]]</f>
        <v>0</v>
      </c>
      <c r="AM47">
        <v>1</v>
      </c>
      <c r="AQ47" s="23">
        <f>SUM(Tabel2[[#This Row],[V 5]]*10+Tabel2[[#This Row],[GT 5]])/Tabel2[[#This Row],[AW 5]]*10+Tabel2[[#This Row],[BONUS 5]]</f>
        <v>0</v>
      </c>
      <c r="AS47">
        <v>1</v>
      </c>
      <c r="AW47" s="23">
        <f>SUM(Tabel2[[#This Row],[V 6]]*10+Tabel2[[#This Row],[GT 6]])/Tabel2[[#This Row],[AW 6]]*10+Tabel2[[#This Row],[BONUS 6]]</f>
        <v>0</v>
      </c>
      <c r="AY47">
        <v>1</v>
      </c>
      <c r="BC47" s="23">
        <f>SUM(Tabel2[[#This Row],[V 7]]*10+Tabel2[[#This Row],[GT 7]])/Tabel2[[#This Row],[AW 7]]*10+Tabel2[[#This Row],[BONUS 7]]</f>
        <v>0</v>
      </c>
      <c r="BE47">
        <v>1</v>
      </c>
      <c r="BI47" s="23">
        <f>SUM(Tabel2[[#This Row],[V 8]]*10+Tabel2[[#This Row],[GT 8]])/Tabel2[[#This Row],[AW 8]]*10+Tabel2[[#This Row],[BONUS 8]]</f>
        <v>0</v>
      </c>
      <c r="BK47">
        <v>1</v>
      </c>
      <c r="BO47" s="23">
        <f>SUM(Tabel2[[#This Row],[V 9]]*10+Tabel2[[#This Row],[GT 9]])/Tabel2[[#This Row],[AW 9]]*10+Tabel2[[#This Row],[BONUS 9]]</f>
        <v>0</v>
      </c>
      <c r="BQ47">
        <v>1</v>
      </c>
      <c r="BU47" s="23">
        <f>SUM(Tabel2[[#This Row],[V 10]]*10+Tabel2[[#This Row],[GT 10]])/Tabel2[[#This Row],[AW 10]]*10+Tabel2[[#This Row],[BONUS 10]]</f>
        <v>0</v>
      </c>
      <c r="BV4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7" s="22">
        <v>500</v>
      </c>
      <c r="BX47" s="30">
        <f>Tabel2[[#This Row],[Diploma]]-Tabel2[[#This Row],[Uitgeschreven]]</f>
        <v>0</v>
      </c>
      <c r="BY47" s="2" t="str">
        <f t="shared" si="7"/>
        <v>geen actie</v>
      </c>
      <c r="CA47" s="150">
        <f>Tabel2[[#This Row],[pnt t/m 2021/22]]</f>
        <v>740.34848484848476</v>
      </c>
      <c r="CB47" s="150">
        <f>Tabel2[[#This Row],[pnt 2022/2023]]</f>
        <v>0</v>
      </c>
      <c r="CC47" s="150">
        <f t="shared" si="6"/>
        <v>740.34848484848476</v>
      </c>
      <c r="CD47" s="150">
        <f>IF(Tabel2[[#This Row],[LPR 1]]&gt;0,1,0)</f>
        <v>0</v>
      </c>
      <c r="CE47" s="150">
        <f>IF(Tabel2[[#This Row],[LPR 2]]&gt;0,1,0)</f>
        <v>0</v>
      </c>
      <c r="CF47" s="150">
        <f>IF(Tabel2[[#This Row],[LPR 3]]&gt;0,1,0)</f>
        <v>0</v>
      </c>
      <c r="CG47" s="150">
        <f>IF(Tabel2[[#This Row],[LPR 4]]&gt;0,1,0)</f>
        <v>0</v>
      </c>
      <c r="CH47" s="150">
        <f>IF(Tabel2[[#This Row],[LPR 5]]&gt;0,1,0)</f>
        <v>0</v>
      </c>
      <c r="CI47" s="150">
        <f>IF(Tabel2[[#This Row],[LPR 6]]&gt;0,1,0)</f>
        <v>0</v>
      </c>
      <c r="CJ47" s="150">
        <f>IF(Tabel2[[#This Row],[LPR 7]]&gt;0,1,0)</f>
        <v>0</v>
      </c>
      <c r="CK47" s="150">
        <f>IF(Tabel2[[#This Row],[LPR 8]]&gt;0,1,0)</f>
        <v>0</v>
      </c>
      <c r="CL47" s="150">
        <f>IF(Tabel2[[#This Row],[LPR 9]]&gt;0,1,0)</f>
        <v>0</v>
      </c>
      <c r="CM47" s="150">
        <f>IF(Tabel2[[#This Row],[LPR 10]]&gt;0,1,0)</f>
        <v>0</v>
      </c>
      <c r="CN47" s="150">
        <f>SUM(Tabel7[[#This Row],[sep]:[jun]])</f>
        <v>0</v>
      </c>
      <c r="CO47" s="22" t="str">
        <f t="shared" si="1"/>
        <v/>
      </c>
      <c r="CP47" s="22" t="str">
        <f t="shared" si="2"/>
        <v/>
      </c>
      <c r="CQ47" s="22" t="str">
        <f t="shared" si="3"/>
        <v/>
      </c>
      <c r="CR47" s="22" t="str">
        <f t="shared" si="4"/>
        <v/>
      </c>
      <c r="CS47" s="22" t="str">
        <f t="shared" si="5"/>
        <v/>
      </c>
    </row>
    <row r="48" spans="1:97" x14ac:dyDescent="0.3">
      <c r="A48" s="22" t="s">
        <v>173</v>
      </c>
      <c r="B48" s="22" t="s">
        <v>149</v>
      </c>
      <c r="D48" s="22" t="s">
        <v>163</v>
      </c>
      <c r="E48" t="s">
        <v>225</v>
      </c>
      <c r="F48" s="22">
        <v>120134</v>
      </c>
      <c r="G48" s="25" t="s">
        <v>195</v>
      </c>
      <c r="H48" s="142">
        <f>Tabel2[[#This Row],[pnt t/m 2021/22]]+Tabel2[[#This Row],[pnt 2022/2023]]</f>
        <v>607.51082251082244</v>
      </c>
      <c r="I48">
        <v>2012</v>
      </c>
      <c r="J48">
        <v>2022</v>
      </c>
      <c r="K48" s="24">
        <f>Tabel2[[#This Row],[ijkdatum]]-Tabel2[[#This Row],[Geboren]]</f>
        <v>10</v>
      </c>
      <c r="L48" s="26">
        <f>Tabel2[[#This Row],[TTL 1]]+Tabel2[[#This Row],[TTL 2]]+Tabel2[[#This Row],[TTL 3]]+Tabel2[[#This Row],[TTL 4]]+Tabel2[[#This Row],[TTL 5]]+Tabel2[[#This Row],[TTL 6]]+Tabel2[[#This Row],[TTL 7]]+Tabel2[[#This Row],[TTL 8]]+Tabel2[[#This Row],[TTL 9]]+Tabel2[[#This Row],[TTL 10]]</f>
        <v>0</v>
      </c>
      <c r="M48" s="141">
        <v>607.51082251082244</v>
      </c>
      <c r="O48">
        <v>1</v>
      </c>
      <c r="S48" s="23">
        <f>SUM(Tabel2[[#This Row],[V 1]]*10+Tabel2[[#This Row],[GT 1]])/Tabel2[[#This Row],[AW 1]]*10+Tabel2[[#This Row],[BONUS 1]]</f>
        <v>0</v>
      </c>
      <c r="U48">
        <v>1</v>
      </c>
      <c r="Y48" s="23">
        <f>SUM(Tabel2[[#This Row],[V 2]]*10+Tabel2[[#This Row],[GT 2]])/Tabel2[[#This Row],[AW 2]]*10+Tabel2[[#This Row],[BONUS 2]]</f>
        <v>0</v>
      </c>
      <c r="AA48">
        <v>1</v>
      </c>
      <c r="AE48" s="23">
        <f>SUM(Tabel2[[#This Row],[V 3]]*10+Tabel2[[#This Row],[GT 3]])/Tabel2[[#This Row],[AW 3]]*10+Tabel2[[#This Row],[BONUS 3]]</f>
        <v>0</v>
      </c>
      <c r="AG48">
        <v>1</v>
      </c>
      <c r="AK48" s="23">
        <f>SUM(Tabel2[[#This Row],[V 4]]*10+Tabel2[[#This Row],[GT 4]])/Tabel2[[#This Row],[AW 4]]*10+Tabel2[[#This Row],[BONUS 4]]</f>
        <v>0</v>
      </c>
      <c r="AM48">
        <v>1</v>
      </c>
      <c r="AQ48" s="23">
        <f>SUM(Tabel2[[#This Row],[V 5]]*10+Tabel2[[#This Row],[GT 5]])/Tabel2[[#This Row],[AW 5]]*10+Tabel2[[#This Row],[BONUS 5]]</f>
        <v>0</v>
      </c>
      <c r="AS48">
        <v>1</v>
      </c>
      <c r="AW48" s="2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23">
        <f>SUM(Tabel2[[#This Row],[V 9]]*10+Tabel2[[#This Row],[GT 9]])/Tabel2[[#This Row],[AW 9]]*10+Tabel2[[#This Row],[BONUS 9]]</f>
        <v>0</v>
      </c>
      <c r="BQ48">
        <v>1</v>
      </c>
      <c r="BU48" s="23">
        <f>SUM(Tabel2[[#This Row],[V 10]]*10+Tabel2[[#This Row],[GT 10]])/Tabel2[[#This Row],[AW 10]]*10+Tabel2[[#This Row],[BONUS 10]]</f>
        <v>0</v>
      </c>
      <c r="BV4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8" s="22">
        <v>500</v>
      </c>
      <c r="BX48" s="30">
        <f>Tabel2[[#This Row],[Diploma]]-Tabel2[[#This Row],[Uitgeschreven]]</f>
        <v>0</v>
      </c>
      <c r="BY48" s="2" t="str">
        <f t="shared" si="7"/>
        <v>geen actie</v>
      </c>
      <c r="CA48" s="150">
        <f>Tabel2[[#This Row],[pnt t/m 2021/22]]</f>
        <v>607.51082251082244</v>
      </c>
      <c r="CB48" s="150">
        <f>Tabel2[[#This Row],[pnt 2022/2023]]</f>
        <v>0</v>
      </c>
      <c r="CC48" s="150">
        <f t="shared" si="6"/>
        <v>607.51082251082244</v>
      </c>
      <c r="CD48" s="150">
        <f>IF(Tabel2[[#This Row],[LPR 1]]&gt;0,1,0)</f>
        <v>0</v>
      </c>
      <c r="CE48" s="150">
        <f>IF(Tabel2[[#This Row],[LPR 2]]&gt;0,1,0)</f>
        <v>0</v>
      </c>
      <c r="CF48" s="150">
        <f>IF(Tabel2[[#This Row],[LPR 3]]&gt;0,1,0)</f>
        <v>0</v>
      </c>
      <c r="CG48" s="150">
        <f>IF(Tabel2[[#This Row],[LPR 4]]&gt;0,1,0)</f>
        <v>0</v>
      </c>
      <c r="CH48" s="150">
        <f>IF(Tabel2[[#This Row],[LPR 5]]&gt;0,1,0)</f>
        <v>0</v>
      </c>
      <c r="CI48" s="150">
        <f>IF(Tabel2[[#This Row],[LPR 6]]&gt;0,1,0)</f>
        <v>0</v>
      </c>
      <c r="CJ48" s="150">
        <f>IF(Tabel2[[#This Row],[LPR 7]]&gt;0,1,0)</f>
        <v>0</v>
      </c>
      <c r="CK48" s="150">
        <f>IF(Tabel2[[#This Row],[LPR 8]]&gt;0,1,0)</f>
        <v>0</v>
      </c>
      <c r="CL48" s="150">
        <f>IF(Tabel2[[#This Row],[LPR 9]]&gt;0,1,0)</f>
        <v>0</v>
      </c>
      <c r="CM48" s="150">
        <f>IF(Tabel2[[#This Row],[LPR 10]]&gt;0,1,0)</f>
        <v>0</v>
      </c>
      <c r="CN48" s="150">
        <f>SUM(Tabel7[[#This Row],[sep]:[jun]])</f>
        <v>0</v>
      </c>
      <c r="CO48" s="22" t="str">
        <f t="shared" si="1"/>
        <v/>
      </c>
      <c r="CP48" s="22" t="str">
        <f t="shared" si="2"/>
        <v/>
      </c>
      <c r="CQ48" s="22" t="str">
        <f t="shared" si="3"/>
        <v/>
      </c>
      <c r="CR48" s="22" t="str">
        <f t="shared" si="4"/>
        <v/>
      </c>
      <c r="CS48" s="22" t="str">
        <f t="shared" si="5"/>
        <v/>
      </c>
    </row>
    <row r="49" spans="1:97" x14ac:dyDescent="0.3">
      <c r="A49" s="22" t="s">
        <v>156</v>
      </c>
      <c r="B49" s="22" t="s">
        <v>157</v>
      </c>
      <c r="D49" s="22" t="s">
        <v>163</v>
      </c>
      <c r="E49" t="s">
        <v>226</v>
      </c>
      <c r="F49" s="22">
        <v>119767</v>
      </c>
      <c r="G49" s="25" t="s">
        <v>162</v>
      </c>
      <c r="H49" s="142">
        <f>Tabel2[[#This Row],[pnt t/m 2021/22]]+Tabel2[[#This Row],[pnt 2022/2023]]</f>
        <v>51.666666666666671</v>
      </c>
      <c r="I49">
        <v>2004</v>
      </c>
      <c r="J49">
        <v>2022</v>
      </c>
      <c r="K49" s="24">
        <f>Tabel2[[#This Row],[ijkdatum]]-Tabel2[[#This Row],[Geboren]]</f>
        <v>18</v>
      </c>
      <c r="L49" s="26">
        <f>Tabel2[[#This Row],[TTL 1]]+Tabel2[[#This Row],[TTL 2]]+Tabel2[[#This Row],[TTL 3]]+Tabel2[[#This Row],[TTL 4]]+Tabel2[[#This Row],[TTL 5]]+Tabel2[[#This Row],[TTL 6]]+Tabel2[[#This Row],[TTL 7]]+Tabel2[[#This Row],[TTL 8]]+Tabel2[[#This Row],[TTL 9]]+Tabel2[[#This Row],[TTL 10]]</f>
        <v>0</v>
      </c>
      <c r="M49" s="141">
        <v>51.666666666666671</v>
      </c>
      <c r="O49">
        <v>1</v>
      </c>
      <c r="S49" s="23">
        <f>SUM(Tabel2[[#This Row],[V 1]]*10+Tabel2[[#This Row],[GT 1]])/Tabel2[[#This Row],[AW 1]]*10+Tabel2[[#This Row],[BONUS 1]]</f>
        <v>0</v>
      </c>
      <c r="U49">
        <v>1</v>
      </c>
      <c r="Y49" s="23">
        <f>SUM(Tabel2[[#This Row],[V 2]]*10+Tabel2[[#This Row],[GT 2]])/Tabel2[[#This Row],[AW 2]]*10+Tabel2[[#This Row],[BONUS 2]]</f>
        <v>0</v>
      </c>
      <c r="AA49">
        <v>1</v>
      </c>
      <c r="AE49" s="23">
        <f>SUM(Tabel2[[#This Row],[V 3]]*10+Tabel2[[#This Row],[GT 3]])/Tabel2[[#This Row],[AW 3]]*10+Tabel2[[#This Row],[BONUS 3]]</f>
        <v>0</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9" s="22">
        <v>0</v>
      </c>
      <c r="BX49" s="30">
        <f>Tabel2[[#This Row],[Diploma]]-Tabel2[[#This Row],[Uitgeschreven]]</f>
        <v>0</v>
      </c>
      <c r="BY49" s="2" t="str">
        <f t="shared" si="7"/>
        <v>geen actie</v>
      </c>
      <c r="CA49" s="150">
        <f>Tabel2[[#This Row],[pnt t/m 2021/22]]</f>
        <v>51.666666666666671</v>
      </c>
      <c r="CB49" s="150">
        <f>Tabel2[[#This Row],[pnt 2022/2023]]</f>
        <v>0</v>
      </c>
      <c r="CC49" s="150">
        <f t="shared" si="6"/>
        <v>51.666666666666671</v>
      </c>
      <c r="CD49" s="150">
        <f>IF(Tabel2[[#This Row],[LPR 1]]&gt;0,1,0)</f>
        <v>0</v>
      </c>
      <c r="CE49" s="150">
        <f>IF(Tabel2[[#This Row],[LPR 2]]&gt;0,1,0)</f>
        <v>0</v>
      </c>
      <c r="CF49" s="150">
        <f>IF(Tabel2[[#This Row],[LPR 3]]&gt;0,1,0)</f>
        <v>0</v>
      </c>
      <c r="CG49" s="150">
        <f>IF(Tabel2[[#This Row],[LPR 4]]&gt;0,1,0)</f>
        <v>0</v>
      </c>
      <c r="CH49" s="150">
        <f>IF(Tabel2[[#This Row],[LPR 5]]&gt;0,1,0)</f>
        <v>0</v>
      </c>
      <c r="CI49" s="150">
        <f>IF(Tabel2[[#This Row],[LPR 6]]&gt;0,1,0)</f>
        <v>0</v>
      </c>
      <c r="CJ49" s="150">
        <f>IF(Tabel2[[#This Row],[LPR 7]]&gt;0,1,0)</f>
        <v>0</v>
      </c>
      <c r="CK49" s="150">
        <f>IF(Tabel2[[#This Row],[LPR 8]]&gt;0,1,0)</f>
        <v>0</v>
      </c>
      <c r="CL49" s="150">
        <f>IF(Tabel2[[#This Row],[LPR 9]]&gt;0,1,0)</f>
        <v>0</v>
      </c>
      <c r="CM49" s="150">
        <f>IF(Tabel2[[#This Row],[LPR 10]]&gt;0,1,0)</f>
        <v>0</v>
      </c>
      <c r="CN49" s="150">
        <f>SUM(Tabel7[[#This Row],[sep]:[jun]])</f>
        <v>0</v>
      </c>
      <c r="CO49" s="22" t="str">
        <f t="shared" si="1"/>
        <v/>
      </c>
      <c r="CP49" s="22" t="str">
        <f t="shared" si="2"/>
        <v/>
      </c>
      <c r="CQ49" s="22" t="str">
        <f t="shared" si="3"/>
        <v/>
      </c>
      <c r="CR49" s="22" t="str">
        <f t="shared" si="4"/>
        <v/>
      </c>
      <c r="CS49" s="22" t="str">
        <f t="shared" si="5"/>
        <v/>
      </c>
    </row>
    <row r="50" spans="1:97" x14ac:dyDescent="0.3">
      <c r="A50" s="22" t="s">
        <v>159</v>
      </c>
      <c r="B50" s="22" t="s">
        <v>149</v>
      </c>
      <c r="D50" s="22" t="s">
        <v>150</v>
      </c>
      <c r="E50" t="s">
        <v>227</v>
      </c>
      <c r="F50" s="22">
        <v>119325</v>
      </c>
      <c r="G50" s="25" t="s">
        <v>206</v>
      </c>
      <c r="H50" s="142">
        <f>Tabel2[[#This Row],[pnt t/m 2021/22]]+Tabel2[[#This Row],[pnt 2022/2023]]</f>
        <v>1270.9402215431626</v>
      </c>
      <c r="I50">
        <v>2009</v>
      </c>
      <c r="J50">
        <v>2022</v>
      </c>
      <c r="K50" s="24">
        <f>Tabel2[[#This Row],[ijkdatum]]-Tabel2[[#This Row],[Geboren]]</f>
        <v>13</v>
      </c>
      <c r="L50" s="26">
        <f>Tabel2[[#This Row],[TTL 1]]+Tabel2[[#This Row],[TTL 2]]+Tabel2[[#This Row],[TTL 3]]+Tabel2[[#This Row],[TTL 4]]+Tabel2[[#This Row],[TTL 5]]+Tabel2[[#This Row],[TTL 6]]+Tabel2[[#This Row],[TTL 7]]+Tabel2[[#This Row],[TTL 8]]+Tabel2[[#This Row],[TTL 9]]+Tabel2[[#This Row],[TTL 10]]</f>
        <v>276.96078431372547</v>
      </c>
      <c r="M50" s="141">
        <v>993.97943722943717</v>
      </c>
      <c r="N50">
        <v>10</v>
      </c>
      <c r="O50">
        <v>17</v>
      </c>
      <c r="P50">
        <v>8</v>
      </c>
      <c r="Q50">
        <v>65</v>
      </c>
      <c r="S50" s="23">
        <f>SUM(Tabel2[[#This Row],[V 1]]*10+Tabel2[[#This Row],[GT 1]])/Tabel2[[#This Row],[AW 1]]*10+Tabel2[[#This Row],[BONUS 1]]</f>
        <v>85.294117647058826</v>
      </c>
      <c r="T50">
        <v>7</v>
      </c>
      <c r="U50">
        <v>12</v>
      </c>
      <c r="V50">
        <v>7</v>
      </c>
      <c r="W50">
        <v>104</v>
      </c>
      <c r="Y50" s="23">
        <f>SUM(Tabel2[[#This Row],[V 2]]*10+(Tabel2[[#This Row],[GT 2]]/2))/Tabel2[[#This Row],[AW 2]]*10+Tabel2[[#This Row],[BONUS 2]]</f>
        <v>101.66666666666666</v>
      </c>
      <c r="Z50">
        <v>9</v>
      </c>
      <c r="AA50">
        <v>17</v>
      </c>
      <c r="AB50">
        <v>9</v>
      </c>
      <c r="AC50">
        <v>63</v>
      </c>
      <c r="AE50" s="23">
        <f>SUM(Tabel2[[#This Row],[V 3]]*10+Tabel2[[#This Row],[GT 3]])/Tabel2[[#This Row],[AW 3]]*10+Tabel2[[#This Row],[BONUS 3]]</f>
        <v>90</v>
      </c>
      <c r="AG50">
        <v>1</v>
      </c>
      <c r="AK50" s="23">
        <f>SUM(Tabel2[[#This Row],[V 4]]*10+Tabel2[[#This Row],[GT 4]])/Tabel2[[#This Row],[AW 4]]*10+Tabel2[[#This Row],[BONUS 4]]</f>
        <v>0</v>
      </c>
      <c r="AM50">
        <v>1</v>
      </c>
      <c r="AQ50" s="23">
        <f>SUM(Tabel2[[#This Row],[V 5]]*10+Tabel2[[#This Row],[GT 5]])/Tabel2[[#This Row],[AW 5]]*10+Tabel2[[#This Row],[BONUS 5]]</f>
        <v>0</v>
      </c>
      <c r="AS50">
        <v>1</v>
      </c>
      <c r="AW50" s="23">
        <f>SUM(Tabel2[[#This Row],[V 6]]*10+Tabel2[[#This Row],[GT 6]])/Tabel2[[#This Row],[AW 6]]*10+Tabel2[[#This Row],[BONUS 6]]</f>
        <v>0</v>
      </c>
      <c r="AY50">
        <v>1</v>
      </c>
      <c r="BC50" s="23">
        <f>SUM(Tabel2[[#This Row],[V 7]]*10+Tabel2[[#This Row],[GT 7]])/Tabel2[[#This Row],[AW 7]]*10+Tabel2[[#This Row],[BONUS 7]]</f>
        <v>0</v>
      </c>
      <c r="BE50">
        <v>1</v>
      </c>
      <c r="BI50" s="23">
        <f>SUM(Tabel2[[#This Row],[V 8]]*10+Tabel2[[#This Row],[GT 8]])/Tabel2[[#This Row],[AW 8]]*10+Tabel2[[#This Row],[BONUS 8]]</f>
        <v>0</v>
      </c>
      <c r="BK50">
        <v>1</v>
      </c>
      <c r="BO50" s="2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0" s="22">
        <v>1000</v>
      </c>
      <c r="BX50" s="30">
        <f>Tabel2[[#This Row],[Diploma]]-Tabel2[[#This Row],[Uitgeschreven]]</f>
        <v>0</v>
      </c>
      <c r="BY50" s="2" t="str">
        <f t="shared" si="7"/>
        <v>geen actie</v>
      </c>
      <c r="CA50" s="150">
        <f>Tabel2[[#This Row],[pnt t/m 2021/22]]</f>
        <v>993.97943722943717</v>
      </c>
      <c r="CB50" s="150">
        <f>Tabel2[[#This Row],[pnt 2022/2023]]</f>
        <v>276.96078431372547</v>
      </c>
      <c r="CC50" s="150">
        <f t="shared" si="6"/>
        <v>1270.9402215431626</v>
      </c>
      <c r="CD50" s="150">
        <f>IF(Tabel2[[#This Row],[LPR 1]]&gt;0,1,0)</f>
        <v>1</v>
      </c>
      <c r="CE50" s="150">
        <f>IF(Tabel2[[#This Row],[LPR 2]]&gt;0,1,0)</f>
        <v>1</v>
      </c>
      <c r="CF50" s="150">
        <f>IF(Tabel2[[#This Row],[LPR 3]]&gt;0,1,0)</f>
        <v>1</v>
      </c>
      <c r="CG50" s="150">
        <f>IF(Tabel2[[#This Row],[LPR 4]]&gt;0,1,0)</f>
        <v>0</v>
      </c>
      <c r="CH50" s="150">
        <f>IF(Tabel2[[#This Row],[LPR 5]]&gt;0,1,0)</f>
        <v>0</v>
      </c>
      <c r="CI50" s="150">
        <f>IF(Tabel2[[#This Row],[LPR 6]]&gt;0,1,0)</f>
        <v>0</v>
      </c>
      <c r="CJ50" s="150">
        <f>IF(Tabel2[[#This Row],[LPR 7]]&gt;0,1,0)</f>
        <v>0</v>
      </c>
      <c r="CK50" s="150">
        <f>IF(Tabel2[[#This Row],[LPR 8]]&gt;0,1,0)</f>
        <v>0</v>
      </c>
      <c r="CL50" s="150">
        <f>IF(Tabel2[[#This Row],[LPR 9]]&gt;0,1,0)</f>
        <v>0</v>
      </c>
      <c r="CM50" s="150">
        <f>IF(Tabel2[[#This Row],[LPR 10]]&gt;0,1,0)</f>
        <v>0</v>
      </c>
      <c r="CN50" s="150">
        <f>SUM(Tabel7[[#This Row],[sep]:[jun]])</f>
        <v>3</v>
      </c>
      <c r="CO50" s="22" t="str">
        <f t="shared" si="1"/>
        <v>x</v>
      </c>
      <c r="CP50" s="22" t="str">
        <f t="shared" si="2"/>
        <v/>
      </c>
      <c r="CQ50" s="22" t="str">
        <f t="shared" si="3"/>
        <v/>
      </c>
      <c r="CR50" s="22" t="str">
        <f t="shared" si="4"/>
        <v/>
      </c>
      <c r="CS50" s="22" t="str">
        <f t="shared" si="5"/>
        <v/>
      </c>
    </row>
    <row r="51" spans="1:97" x14ac:dyDescent="0.3">
      <c r="A51" s="22" t="s">
        <v>156</v>
      </c>
      <c r="B51" s="22" t="s">
        <v>149</v>
      </c>
      <c r="D51" s="22" t="s">
        <v>163</v>
      </c>
      <c r="E51" t="s">
        <v>228</v>
      </c>
      <c r="F51" s="22">
        <v>117564</v>
      </c>
      <c r="G51" s="25" t="s">
        <v>229</v>
      </c>
      <c r="H51" s="142">
        <f>Tabel2[[#This Row],[pnt t/m 2021/22]]+Tabel2[[#This Row],[pnt 2022/2023]]</f>
        <v>260</v>
      </c>
      <c r="I51">
        <v>2006</v>
      </c>
      <c r="J51">
        <v>2022</v>
      </c>
      <c r="K51" s="24">
        <f>Tabel2[[#This Row],[ijkdatum]]-Tabel2[[#This Row],[Geboren]]</f>
        <v>16</v>
      </c>
      <c r="L51" s="26">
        <f>Tabel2[[#This Row],[TTL 1]]+Tabel2[[#This Row],[TTL 2]]+Tabel2[[#This Row],[TTL 3]]+Tabel2[[#This Row],[TTL 4]]+Tabel2[[#This Row],[TTL 5]]+Tabel2[[#This Row],[TTL 6]]+Tabel2[[#This Row],[TTL 7]]+Tabel2[[#This Row],[TTL 8]]+Tabel2[[#This Row],[TTL 9]]+Tabel2[[#This Row],[TTL 10]]</f>
        <v>0</v>
      </c>
      <c r="M51" s="141">
        <v>260</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1" s="22">
        <v>250</v>
      </c>
      <c r="BX51" s="30">
        <f>Tabel2[[#This Row],[Diploma]]-Tabel2[[#This Row],[Uitgeschreven]]</f>
        <v>0</v>
      </c>
      <c r="BY51" s="2" t="str">
        <f t="shared" si="7"/>
        <v>geen actie</v>
      </c>
      <c r="CA51" s="150">
        <f>Tabel2[[#This Row],[pnt t/m 2021/22]]</f>
        <v>260</v>
      </c>
      <c r="CB51" s="150">
        <f>Tabel2[[#This Row],[pnt 2022/2023]]</f>
        <v>0</v>
      </c>
      <c r="CC51" s="150">
        <f t="shared" si="6"/>
        <v>260</v>
      </c>
      <c r="CD51" s="150">
        <f>IF(Tabel2[[#This Row],[LPR 1]]&gt;0,1,0)</f>
        <v>0</v>
      </c>
      <c r="CE51" s="150">
        <f>IF(Tabel2[[#This Row],[LPR 2]]&gt;0,1,0)</f>
        <v>0</v>
      </c>
      <c r="CF51" s="150">
        <f>IF(Tabel2[[#This Row],[LPR 3]]&gt;0,1,0)</f>
        <v>0</v>
      </c>
      <c r="CG51" s="150">
        <f>IF(Tabel2[[#This Row],[LPR 4]]&gt;0,1,0)</f>
        <v>0</v>
      </c>
      <c r="CH51" s="150">
        <f>IF(Tabel2[[#This Row],[LPR 5]]&gt;0,1,0)</f>
        <v>0</v>
      </c>
      <c r="CI51" s="150">
        <f>IF(Tabel2[[#This Row],[LPR 6]]&gt;0,1,0)</f>
        <v>0</v>
      </c>
      <c r="CJ51" s="150">
        <f>IF(Tabel2[[#This Row],[LPR 7]]&gt;0,1,0)</f>
        <v>0</v>
      </c>
      <c r="CK51" s="150">
        <f>IF(Tabel2[[#This Row],[LPR 8]]&gt;0,1,0)</f>
        <v>0</v>
      </c>
      <c r="CL51" s="150">
        <f>IF(Tabel2[[#This Row],[LPR 9]]&gt;0,1,0)</f>
        <v>0</v>
      </c>
      <c r="CM51" s="150">
        <f>IF(Tabel2[[#This Row],[LPR 10]]&gt;0,1,0)</f>
        <v>0</v>
      </c>
      <c r="CN51" s="150">
        <f>SUM(Tabel7[[#This Row],[sep]:[jun]])</f>
        <v>0</v>
      </c>
      <c r="CO51" s="22" t="str">
        <f t="shared" si="1"/>
        <v/>
      </c>
      <c r="CP51" s="22" t="str">
        <f t="shared" si="2"/>
        <v/>
      </c>
      <c r="CQ51" s="22" t="str">
        <f t="shared" si="3"/>
        <v/>
      </c>
      <c r="CR51" s="22" t="str">
        <f t="shared" si="4"/>
        <v/>
      </c>
      <c r="CS51" s="22" t="str">
        <f t="shared" si="5"/>
        <v/>
      </c>
    </row>
    <row r="52" spans="1:97" x14ac:dyDescent="0.3">
      <c r="A52" s="22" t="s">
        <v>159</v>
      </c>
      <c r="B52" s="22" t="s">
        <v>157</v>
      </c>
      <c r="D52" s="22" t="s">
        <v>163</v>
      </c>
      <c r="E52" t="s">
        <v>230</v>
      </c>
      <c r="F52" s="22">
        <v>116662</v>
      </c>
      <c r="G52" s="25" t="s">
        <v>187</v>
      </c>
      <c r="H52" s="23">
        <f>Tabel2[[#This Row],[pnt t/m 2021/22]]+Tabel2[[#This Row],[pnt 2022/2023]]</f>
        <v>185.14285714285714</v>
      </c>
      <c r="I52">
        <v>2005</v>
      </c>
      <c r="J52">
        <v>2022</v>
      </c>
      <c r="K52" s="24">
        <f>Tabel2[[#This Row],[ijkdatum]]-Tabel2[[#This Row],[Geboren]]</f>
        <v>17</v>
      </c>
      <c r="L52" s="26">
        <f>Tabel2[[#This Row],[TTL 1]]+Tabel2[[#This Row],[TTL 2]]+Tabel2[[#This Row],[TTL 3]]+Tabel2[[#This Row],[TTL 4]]+Tabel2[[#This Row],[TTL 5]]+Tabel2[[#This Row],[TTL 6]]+Tabel2[[#This Row],[TTL 7]]+Tabel2[[#This Row],[TTL 8]]+Tabel2[[#This Row],[TTL 9]]+Tabel2[[#This Row],[TTL 10]]</f>
        <v>0</v>
      </c>
      <c r="M52" s="153">
        <v>185.14285714285714</v>
      </c>
      <c r="O52">
        <v>1</v>
      </c>
      <c r="S52" s="153">
        <f>SUM(Tabel2[[#This Row],[V 1]]*10+Tabel2[[#This Row],[GT 1]])/Tabel2[[#This Row],[AW 1]]*10+Tabel2[[#This Row],[BONUS 1]]</f>
        <v>0</v>
      </c>
      <c r="U52">
        <v>1</v>
      </c>
      <c r="Y52" s="153">
        <f>SUM(Tabel2[[#This Row],[V 2]]*10+Tabel2[[#This Row],[GT 2]])/Tabel2[[#This Row],[AW 2]]*10+Tabel2[[#This Row],[BONUS 2]]</f>
        <v>0</v>
      </c>
      <c r="AA52">
        <v>1</v>
      </c>
      <c r="AE52" s="153">
        <f>SUM(Tabel2[[#This Row],[V 3]]*10+Tabel2[[#This Row],[GT 3]])/Tabel2[[#This Row],[AW 3]]*10+Tabel2[[#This Row],[BONUS 3]]</f>
        <v>0</v>
      </c>
      <c r="AG52">
        <v>1</v>
      </c>
      <c r="AK52" s="153">
        <f>SUM(Tabel2[[#This Row],[V 4]]*10+Tabel2[[#This Row],[GT 4]])/Tabel2[[#This Row],[AW 4]]*10+Tabel2[[#This Row],[BONUS 4]]</f>
        <v>0</v>
      </c>
      <c r="AM52">
        <v>1</v>
      </c>
      <c r="AQ52" s="153">
        <f>SUM(Tabel2[[#This Row],[V 5]]*10+Tabel2[[#This Row],[GT 5]])/Tabel2[[#This Row],[AW 5]]*10+Tabel2[[#This Row],[BONUS 5]]</f>
        <v>0</v>
      </c>
      <c r="AS52">
        <v>1</v>
      </c>
      <c r="AW52" s="153">
        <f>SUM(Tabel2[[#This Row],[V 6]]*10+Tabel2[[#This Row],[GT 6]])/Tabel2[[#This Row],[AW 6]]*10+Tabel2[[#This Row],[BONUS 6]]</f>
        <v>0</v>
      </c>
      <c r="AY52">
        <v>1</v>
      </c>
      <c r="BC52" s="23">
        <f>SUM(Tabel2[[#This Row],[V 7]]*10+Tabel2[[#This Row],[GT 7]])/Tabel2[[#This Row],[AW 7]]*10+Tabel2[[#This Row],[BONUS 7]]</f>
        <v>0</v>
      </c>
      <c r="BE52">
        <v>1</v>
      </c>
      <c r="BI52" s="153">
        <f>SUM(Tabel2[[#This Row],[V 8]]*10+Tabel2[[#This Row],[GT 8]])/Tabel2[[#This Row],[AW 8]]*10+Tabel2[[#This Row],[BONUS 8]]</f>
        <v>0</v>
      </c>
      <c r="BK52">
        <v>1</v>
      </c>
      <c r="BO52" s="153">
        <f>SUM(Tabel2[[#This Row],[V 9]]*10+Tabel2[[#This Row],[GT 9]])/Tabel2[[#This Row],[AW 9]]*10+Tabel2[[#This Row],[BONUS 9]]</f>
        <v>0</v>
      </c>
      <c r="BQ52">
        <v>1</v>
      </c>
      <c r="BU52" s="23">
        <f>SUM(Tabel2[[#This Row],[V 10]]*10+Tabel2[[#This Row],[GT 10]])/Tabel2[[#This Row],[AW 10]]*10+Tabel2[[#This Row],[BONUS 10]]</f>
        <v>0</v>
      </c>
      <c r="BV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22">
        <f>Tabel2[[#This Row],[Diploma]]-Tabel2[[#This Row],[Uitgeschreven]]</f>
        <v>0</v>
      </c>
      <c r="BY52" s="155" t="str">
        <f t="shared" si="7"/>
        <v>geen actie</v>
      </c>
      <c r="CA52" s="150">
        <f>Tabel2[[#This Row],[pnt t/m 2021/22]]</f>
        <v>185.14285714285714</v>
      </c>
      <c r="CB52" s="150">
        <f>Tabel2[[#This Row],[pnt 2022/2023]]</f>
        <v>0</v>
      </c>
      <c r="CC52" s="150">
        <f t="shared" si="6"/>
        <v>185.14285714285714</v>
      </c>
      <c r="CD52" s="150">
        <f>IF(Tabel2[[#This Row],[LPR 1]]&gt;0,1,0)</f>
        <v>0</v>
      </c>
      <c r="CE52" s="150">
        <f>IF(Tabel2[[#This Row],[LPR 2]]&gt;0,1,0)</f>
        <v>0</v>
      </c>
      <c r="CF52" s="150">
        <f>IF(Tabel2[[#This Row],[LPR 3]]&gt;0,1,0)</f>
        <v>0</v>
      </c>
      <c r="CG52" s="150">
        <f>IF(Tabel2[[#This Row],[LPR 4]]&gt;0,1,0)</f>
        <v>0</v>
      </c>
      <c r="CH52" s="150">
        <f>IF(Tabel2[[#This Row],[LPR 5]]&gt;0,1,0)</f>
        <v>0</v>
      </c>
      <c r="CI52" s="150">
        <f>IF(Tabel2[[#This Row],[LPR 6]]&gt;0,1,0)</f>
        <v>0</v>
      </c>
      <c r="CJ52" s="150">
        <f>IF(Tabel2[[#This Row],[LPR 7]]&gt;0,1,0)</f>
        <v>0</v>
      </c>
      <c r="CK52" s="150">
        <f>IF(Tabel2[[#This Row],[LPR 8]]&gt;0,1,0)</f>
        <v>0</v>
      </c>
      <c r="CL52" s="150">
        <f>IF(Tabel2[[#This Row],[LPR 9]]&gt;0,1,0)</f>
        <v>0</v>
      </c>
      <c r="CM52" s="150">
        <f>IF(Tabel2[[#This Row],[LPR 10]]&gt;0,1,0)</f>
        <v>0</v>
      </c>
      <c r="CN52" s="150">
        <f>SUM(Tabel7[[#This Row],[sep]:[jun]])</f>
        <v>0</v>
      </c>
      <c r="CO52" s="22" t="str">
        <f t="shared" si="1"/>
        <v/>
      </c>
      <c r="CP52" s="22" t="str">
        <f t="shared" si="2"/>
        <v/>
      </c>
      <c r="CQ52" s="22" t="str">
        <f t="shared" si="3"/>
        <v/>
      </c>
      <c r="CR52" s="22" t="str">
        <f t="shared" si="4"/>
        <v/>
      </c>
      <c r="CS52" s="22" t="str">
        <f t="shared" si="5"/>
        <v/>
      </c>
    </row>
    <row r="53" spans="1:97" x14ac:dyDescent="0.3">
      <c r="A53" s="22" t="s">
        <v>148</v>
      </c>
      <c r="B53" s="22" t="s">
        <v>149</v>
      </c>
      <c r="D53" s="22" t="s">
        <v>163</v>
      </c>
      <c r="E53" t="s">
        <v>231</v>
      </c>
      <c r="F53" s="22">
        <v>119495</v>
      </c>
      <c r="G53" s="25" t="s">
        <v>232</v>
      </c>
      <c r="H53" s="142">
        <f>Tabel2[[#This Row],[pnt t/m 2021/22]]+Tabel2[[#This Row],[pnt 2022/2023]]</f>
        <v>520</v>
      </c>
      <c r="I53">
        <v>2010</v>
      </c>
      <c r="J53">
        <v>2022</v>
      </c>
      <c r="K53" s="24">
        <f>Tabel2[[#This Row],[ijkdatum]]-Tabel2[[#This Row],[Geboren]]</f>
        <v>12</v>
      </c>
      <c r="L53" s="26">
        <f>Tabel2[[#This Row],[TTL 1]]+Tabel2[[#This Row],[TTL 2]]+Tabel2[[#This Row],[TTL 3]]+Tabel2[[#This Row],[TTL 4]]+Tabel2[[#This Row],[TTL 5]]+Tabel2[[#This Row],[TTL 6]]+Tabel2[[#This Row],[TTL 7]]+Tabel2[[#This Row],[TTL 8]]+Tabel2[[#This Row],[TTL 9]]+Tabel2[[#This Row],[TTL 10]]</f>
        <v>0</v>
      </c>
      <c r="M53" s="141">
        <v>520</v>
      </c>
      <c r="O53">
        <v>1</v>
      </c>
      <c r="S53" s="23">
        <f>SUM(Tabel2[[#This Row],[V 1]]*10+Tabel2[[#This Row],[GT 1]])/Tabel2[[#This Row],[AW 1]]*10+Tabel2[[#This Row],[BONUS 1]]</f>
        <v>0</v>
      </c>
      <c r="U53">
        <v>1</v>
      </c>
      <c r="Y53" s="23">
        <f>SUM(Tabel2[[#This Row],[V 2]]*10+Tabel2[[#This Row],[GT 2]])/Tabel2[[#This Row],[AW 2]]*10+Tabel2[[#This Row],[BONUS 2]]</f>
        <v>0</v>
      </c>
      <c r="AA53">
        <v>1</v>
      </c>
      <c r="AE53" s="23">
        <f>SUM(Tabel2[[#This Row],[V 3]]*10+Tabel2[[#This Row],[GT 3]])/Tabel2[[#This Row],[AW 3]]*10+Tabel2[[#This Row],[BONUS 3]]</f>
        <v>0</v>
      </c>
      <c r="AG53">
        <v>1</v>
      </c>
      <c r="AK53" s="23">
        <f>SUM(Tabel2[[#This Row],[V 4]]*10+Tabel2[[#This Row],[GT 4]])/Tabel2[[#This Row],[AW 4]]*10+Tabel2[[#This Row],[BONUS 4]]</f>
        <v>0</v>
      </c>
      <c r="AM53">
        <v>1</v>
      </c>
      <c r="AQ53" s="23">
        <f>SUM(Tabel2[[#This Row],[V 5]]*10+Tabel2[[#This Row],[GT 5]])/Tabel2[[#This Row],[AW 5]]*10+Tabel2[[#This Row],[BONUS 5]]</f>
        <v>0</v>
      </c>
      <c r="AS53">
        <v>1</v>
      </c>
      <c r="AW53" s="23">
        <f>SUM(Tabel2[[#This Row],[V 6]]*10+Tabel2[[#This Row],[GT 6]])/Tabel2[[#This Row],[AW 6]]*10+Tabel2[[#This Row],[BONUS 6]]</f>
        <v>0</v>
      </c>
      <c r="AY53">
        <v>1</v>
      </c>
      <c r="BC53" s="23">
        <f>SUM(Tabel2[[#This Row],[V 7]]*10+Tabel2[[#This Row],[GT 7]])/Tabel2[[#This Row],[AW 7]]*10+Tabel2[[#This Row],[BONUS 7]]</f>
        <v>0</v>
      </c>
      <c r="BE53">
        <v>1</v>
      </c>
      <c r="BI53" s="23">
        <f>SUM(Tabel2[[#This Row],[V 8]]*10+Tabel2[[#This Row],[GT 8]])/Tabel2[[#This Row],[AW 8]]*10+Tabel2[[#This Row],[BONUS 8]]</f>
        <v>0</v>
      </c>
      <c r="BK53">
        <v>1</v>
      </c>
      <c r="BO53" s="23">
        <f>SUM(Tabel2[[#This Row],[V 9]]*10+Tabel2[[#This Row],[GT 9]])/Tabel2[[#This Row],[AW 9]]*10+Tabel2[[#This Row],[BONUS 9]]</f>
        <v>0</v>
      </c>
      <c r="BQ53">
        <v>1</v>
      </c>
      <c r="BU53" s="23">
        <f>SUM(Tabel2[[#This Row],[V 10]]*10+Tabel2[[#This Row],[GT 10]])/Tabel2[[#This Row],[AW 10]]*10+Tabel2[[#This Row],[BONUS 10]]</f>
        <v>0</v>
      </c>
      <c r="BV5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3" s="22">
        <v>500</v>
      </c>
      <c r="BX53" s="30">
        <f>Tabel2[[#This Row],[Diploma]]-Tabel2[[#This Row],[Uitgeschreven]]</f>
        <v>0</v>
      </c>
      <c r="BY53" s="2" t="str">
        <f t="shared" si="7"/>
        <v>geen actie</v>
      </c>
      <c r="CA53" s="150">
        <f>Tabel2[[#This Row],[pnt t/m 2021/22]]</f>
        <v>520</v>
      </c>
      <c r="CB53" s="150">
        <f>Tabel2[[#This Row],[pnt 2022/2023]]</f>
        <v>0</v>
      </c>
      <c r="CC53" s="150">
        <f t="shared" si="6"/>
        <v>520</v>
      </c>
      <c r="CD53" s="150">
        <f>IF(Tabel2[[#This Row],[LPR 1]]&gt;0,1,0)</f>
        <v>0</v>
      </c>
      <c r="CE53" s="150">
        <f>IF(Tabel2[[#This Row],[LPR 2]]&gt;0,1,0)</f>
        <v>0</v>
      </c>
      <c r="CF53" s="150">
        <f>IF(Tabel2[[#This Row],[LPR 3]]&gt;0,1,0)</f>
        <v>0</v>
      </c>
      <c r="CG53" s="150">
        <f>IF(Tabel2[[#This Row],[LPR 4]]&gt;0,1,0)</f>
        <v>0</v>
      </c>
      <c r="CH53" s="150">
        <f>IF(Tabel2[[#This Row],[LPR 5]]&gt;0,1,0)</f>
        <v>0</v>
      </c>
      <c r="CI53" s="150">
        <f>IF(Tabel2[[#This Row],[LPR 6]]&gt;0,1,0)</f>
        <v>0</v>
      </c>
      <c r="CJ53" s="150">
        <f>IF(Tabel2[[#This Row],[LPR 7]]&gt;0,1,0)</f>
        <v>0</v>
      </c>
      <c r="CK53" s="150">
        <f>IF(Tabel2[[#This Row],[LPR 8]]&gt;0,1,0)</f>
        <v>0</v>
      </c>
      <c r="CL53" s="150">
        <f>IF(Tabel2[[#This Row],[LPR 9]]&gt;0,1,0)</f>
        <v>0</v>
      </c>
      <c r="CM53" s="150">
        <f>IF(Tabel2[[#This Row],[LPR 10]]&gt;0,1,0)</f>
        <v>0</v>
      </c>
      <c r="CN53" s="150">
        <f>SUM(Tabel7[[#This Row],[sep]:[jun]])</f>
        <v>0</v>
      </c>
      <c r="CO53" s="22" t="str">
        <f t="shared" si="1"/>
        <v/>
      </c>
      <c r="CP53" s="22" t="str">
        <f t="shared" si="2"/>
        <v/>
      </c>
      <c r="CQ53" s="22" t="str">
        <f t="shared" si="3"/>
        <v/>
      </c>
      <c r="CR53" s="22" t="str">
        <f t="shared" si="4"/>
        <v/>
      </c>
      <c r="CS53" s="22" t="str">
        <f t="shared" si="5"/>
        <v/>
      </c>
    </row>
    <row r="54" spans="1:97" x14ac:dyDescent="0.3">
      <c r="A54" s="22" t="s">
        <v>159</v>
      </c>
      <c r="B54" s="22" t="s">
        <v>149</v>
      </c>
      <c r="D54" s="22" t="s">
        <v>163</v>
      </c>
      <c r="E54" t="s">
        <v>233</v>
      </c>
      <c r="F54" s="22">
        <v>117970</v>
      </c>
      <c r="G54" s="25" t="s">
        <v>162</v>
      </c>
      <c r="H54" s="23">
        <f>Tabel2[[#This Row],[pnt t/m 2021/22]]+Tabel2[[#This Row],[pnt 2022/2023]]</f>
        <v>77.5</v>
      </c>
      <c r="I54">
        <v>2006</v>
      </c>
      <c r="J54">
        <v>2022</v>
      </c>
      <c r="K54" s="24">
        <f>Tabel2[[#This Row],[ijkdatum]]-Tabel2[[#This Row],[Geboren]]</f>
        <v>16</v>
      </c>
      <c r="L54" s="26">
        <f>Tabel2[[#This Row],[TTL 1]]+Tabel2[[#This Row],[TTL 2]]+Tabel2[[#This Row],[TTL 3]]+Tabel2[[#This Row],[TTL 4]]+Tabel2[[#This Row],[TTL 5]]+Tabel2[[#This Row],[TTL 6]]+Tabel2[[#This Row],[TTL 7]]+Tabel2[[#This Row],[TTL 8]]+Tabel2[[#This Row],[TTL 9]]+Tabel2[[#This Row],[TTL 10]]</f>
        <v>0</v>
      </c>
      <c r="M54" s="153">
        <v>77.5</v>
      </c>
      <c r="O54">
        <v>1</v>
      </c>
      <c r="S54" s="153">
        <f>SUM(Tabel2[[#This Row],[V 1]]*10+Tabel2[[#This Row],[GT 1]])/Tabel2[[#This Row],[AW 1]]*10+Tabel2[[#This Row],[BONUS 1]]</f>
        <v>0</v>
      </c>
      <c r="U54">
        <v>1</v>
      </c>
      <c r="Y54" s="153">
        <f>SUM(Tabel2[[#This Row],[V 2]]*10+Tabel2[[#This Row],[GT 2]])/Tabel2[[#This Row],[AW 2]]*10+Tabel2[[#This Row],[BONUS 2]]</f>
        <v>0</v>
      </c>
      <c r="AA54">
        <v>1</v>
      </c>
      <c r="AE54" s="153">
        <f>SUM(Tabel2[[#This Row],[V 3]]*10+Tabel2[[#This Row],[GT 3]])/Tabel2[[#This Row],[AW 3]]*10+Tabel2[[#This Row],[BONUS 3]]</f>
        <v>0</v>
      </c>
      <c r="AG54">
        <v>1</v>
      </c>
      <c r="AK54" s="153">
        <f>SUM(Tabel2[[#This Row],[V 4]]*10+Tabel2[[#This Row],[GT 4]])/Tabel2[[#This Row],[AW 4]]*10+Tabel2[[#This Row],[BONUS 4]]</f>
        <v>0</v>
      </c>
      <c r="AM54">
        <v>1</v>
      </c>
      <c r="AQ54" s="153">
        <f>SUM(Tabel2[[#This Row],[V 5]]*10+Tabel2[[#This Row],[GT 5]])/Tabel2[[#This Row],[AW 5]]*10+Tabel2[[#This Row],[BONUS 5]]</f>
        <v>0</v>
      </c>
      <c r="AS54">
        <v>1</v>
      </c>
      <c r="AW54" s="153">
        <f>SUM(Tabel2[[#This Row],[V 6]]*10+Tabel2[[#This Row],[GT 6]])/Tabel2[[#This Row],[AW 6]]*10+Tabel2[[#This Row],[BONUS 6]]</f>
        <v>0</v>
      </c>
      <c r="AY54">
        <v>1</v>
      </c>
      <c r="BC54" s="153">
        <f>SUM(Tabel2[[#This Row],[V 7]]*10+Tabel2[[#This Row],[GT 7]])/Tabel2[[#This Row],[AW 7]]*10+Tabel2[[#This Row],[BONUS 7]]</f>
        <v>0</v>
      </c>
      <c r="BE54">
        <v>1</v>
      </c>
      <c r="BI54" s="153">
        <f>SUM(Tabel2[[#This Row],[V 8]]*10+Tabel2[[#This Row],[GT 8]])/Tabel2[[#This Row],[AW 8]]*10+Tabel2[[#This Row],[BONUS 8]]</f>
        <v>0</v>
      </c>
      <c r="BK54">
        <v>1</v>
      </c>
      <c r="BO54" s="153">
        <f>SUM(Tabel2[[#This Row],[V 9]]*10+Tabel2[[#This Row],[GT 9]])/Tabel2[[#This Row],[AW 9]]*10+Tabel2[[#This Row],[BONUS 9]]</f>
        <v>0</v>
      </c>
      <c r="BQ54">
        <v>1</v>
      </c>
      <c r="BU54" s="23">
        <f>SUM(Tabel2[[#This Row],[V 10]]*10+Tabel2[[#This Row],[GT 10]])/Tabel2[[#This Row],[AW 10]]*10+Tabel2[[#This Row],[BONUS 10]]</f>
        <v>0</v>
      </c>
      <c r="BV5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22">
        <f>Tabel2[[#This Row],[Diploma]]-Tabel2[[#This Row],[Uitgeschreven]]</f>
        <v>0</v>
      </c>
      <c r="BY54" s="155" t="str">
        <f t="shared" si="7"/>
        <v>geen actie</v>
      </c>
      <c r="CA54" s="150">
        <f>Tabel2[[#This Row],[pnt t/m 2021/22]]</f>
        <v>77.5</v>
      </c>
      <c r="CB54" s="150">
        <f>Tabel2[[#This Row],[pnt 2022/2023]]</f>
        <v>0</v>
      </c>
      <c r="CC54" s="150">
        <f t="shared" si="6"/>
        <v>77.5</v>
      </c>
      <c r="CD54" s="150">
        <f>IF(Tabel2[[#This Row],[LPR 1]]&gt;0,1,0)</f>
        <v>0</v>
      </c>
      <c r="CE54" s="150">
        <f>IF(Tabel2[[#This Row],[LPR 2]]&gt;0,1,0)</f>
        <v>0</v>
      </c>
      <c r="CF54" s="150">
        <f>IF(Tabel2[[#This Row],[LPR 3]]&gt;0,1,0)</f>
        <v>0</v>
      </c>
      <c r="CG54" s="150">
        <f>IF(Tabel2[[#This Row],[LPR 4]]&gt;0,1,0)</f>
        <v>0</v>
      </c>
      <c r="CH54" s="150">
        <f>IF(Tabel2[[#This Row],[LPR 5]]&gt;0,1,0)</f>
        <v>0</v>
      </c>
      <c r="CI54" s="150">
        <f>IF(Tabel2[[#This Row],[LPR 6]]&gt;0,1,0)</f>
        <v>0</v>
      </c>
      <c r="CJ54" s="150">
        <f>IF(Tabel2[[#This Row],[LPR 7]]&gt;0,1,0)</f>
        <v>0</v>
      </c>
      <c r="CK54" s="150">
        <f>IF(Tabel2[[#This Row],[LPR 8]]&gt;0,1,0)</f>
        <v>0</v>
      </c>
      <c r="CL54" s="150">
        <f>IF(Tabel2[[#This Row],[LPR 9]]&gt;0,1,0)</f>
        <v>0</v>
      </c>
      <c r="CM54" s="150">
        <f>IF(Tabel2[[#This Row],[LPR 10]]&gt;0,1,0)</f>
        <v>0</v>
      </c>
      <c r="CN54" s="150">
        <f>SUM(Tabel7[[#This Row],[sep]:[jun]])</f>
        <v>0</v>
      </c>
      <c r="CO54" s="22" t="str">
        <f t="shared" si="1"/>
        <v/>
      </c>
      <c r="CP54" s="22" t="str">
        <f t="shared" si="2"/>
        <v/>
      </c>
      <c r="CQ54" s="22" t="str">
        <f t="shared" si="3"/>
        <v/>
      </c>
      <c r="CR54" s="22" t="str">
        <f t="shared" si="4"/>
        <v/>
      </c>
      <c r="CS54" s="22" t="str">
        <f t="shared" si="5"/>
        <v/>
      </c>
    </row>
    <row r="55" spans="1:97" x14ac:dyDescent="0.3">
      <c r="A55" s="22" t="s">
        <v>159</v>
      </c>
      <c r="B55" s="22" t="s">
        <v>149</v>
      </c>
      <c r="D55" s="22" t="s">
        <v>163</v>
      </c>
      <c r="E55" t="s">
        <v>234</v>
      </c>
      <c r="F55" s="22">
        <v>119173</v>
      </c>
      <c r="G55" s="25" t="s">
        <v>167</v>
      </c>
      <c r="H55" s="142">
        <f>Tabel2[[#This Row],[pnt t/m 2021/22]]+Tabel2[[#This Row],[pnt 2022/2023]]</f>
        <v>853.59523809523796</v>
      </c>
      <c r="I55">
        <v>2011</v>
      </c>
      <c r="J55">
        <v>2022</v>
      </c>
      <c r="K55" s="24">
        <f>Tabel2[[#This Row],[ijkdatum]]-Tabel2[[#This Row],[Geboren]]</f>
        <v>11</v>
      </c>
      <c r="L55" s="26">
        <f>Tabel2[[#This Row],[TTL 1]]+Tabel2[[#This Row],[TTL 2]]+Tabel2[[#This Row],[TTL 3]]+Tabel2[[#This Row],[TTL 4]]+Tabel2[[#This Row],[TTL 5]]+Tabel2[[#This Row],[TTL 6]]+Tabel2[[#This Row],[TTL 7]]+Tabel2[[#This Row],[TTL 8]]+Tabel2[[#This Row],[TTL 9]]+Tabel2[[#This Row],[TTL 10]]</f>
        <v>0</v>
      </c>
      <c r="M55" s="141">
        <v>853.59523809523796</v>
      </c>
      <c r="O55">
        <v>1</v>
      </c>
      <c r="S55" s="23">
        <f>SUM(Tabel2[[#This Row],[V 1]]*10+Tabel2[[#This Row],[GT 1]])/Tabel2[[#This Row],[AW 1]]*10+Tabel2[[#This Row],[BONUS 1]]</f>
        <v>0</v>
      </c>
      <c r="U55">
        <v>1</v>
      </c>
      <c r="Y55" s="153">
        <f>SUM(Tabel2[[#This Row],[V 2]]*10+Tabel2[[#This Row],[GT 2]])/Tabel2[[#This Row],[AW 2]]*10+Tabel2[[#This Row],[BONUS 2]]</f>
        <v>0</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S55">
        <v>1</v>
      </c>
      <c r="AW55" s="23">
        <f>SUM(Tabel2[[#This Row],[V 6]]*10+Tabel2[[#This Row],[GT 6]])/Tabel2[[#This Row],[AW 6]]*10+Tabel2[[#This Row],[BONUS 6]]</f>
        <v>0</v>
      </c>
      <c r="AY55">
        <v>1</v>
      </c>
      <c r="BC55" s="23">
        <f>SUM(Tabel2[[#This Row],[V 7]]*10+Tabel2[[#This Row],[GT 7]])/Tabel2[[#This Row],[AW 7]]*10+Tabel2[[#This Row],[BONUS 7]]</f>
        <v>0</v>
      </c>
      <c r="BE55">
        <v>1</v>
      </c>
      <c r="BI55" s="23">
        <f>SUM(Tabel2[[#This Row],[V 8]]*10+Tabel2[[#This Row],[GT 8]])/Tabel2[[#This Row],[AW 8]]*10+Tabel2[[#This Row],[BONUS 8]]</f>
        <v>0</v>
      </c>
      <c r="BK55">
        <v>1</v>
      </c>
      <c r="BO55" s="23">
        <f>SUM(Tabel2[[#This Row],[V 9]]*10+Tabel2[[#This Row],[GT 9]])/Tabel2[[#This Row],[AW 9]]*10+Tabel2[[#This Row],[BONUS 9]]</f>
        <v>0</v>
      </c>
      <c r="BQ55">
        <v>1</v>
      </c>
      <c r="BU55" s="23">
        <f>SUM(Tabel2[[#This Row],[V 10]]*10+Tabel2[[#This Row],[GT 10]])/Tabel2[[#This Row],[AW 10]]*10+Tabel2[[#This Row],[BONUS 10]]</f>
        <v>0</v>
      </c>
      <c r="BV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5" s="22">
        <v>750</v>
      </c>
      <c r="BX55" s="30">
        <f>Tabel2[[#This Row],[Diploma]]-Tabel2[[#This Row],[Uitgeschreven]]</f>
        <v>0</v>
      </c>
      <c r="BY55" s="2" t="str">
        <f t="shared" si="7"/>
        <v>geen actie</v>
      </c>
      <c r="CA55" s="150">
        <f>Tabel2[[#This Row],[pnt t/m 2021/22]]</f>
        <v>853.59523809523796</v>
      </c>
      <c r="CB55" s="150">
        <f>Tabel2[[#This Row],[pnt 2022/2023]]</f>
        <v>0</v>
      </c>
      <c r="CC55" s="150">
        <f t="shared" si="6"/>
        <v>853.59523809523796</v>
      </c>
      <c r="CD55" s="150">
        <f>IF(Tabel2[[#This Row],[LPR 1]]&gt;0,1,0)</f>
        <v>0</v>
      </c>
      <c r="CE55" s="150">
        <f>IF(Tabel2[[#This Row],[LPR 2]]&gt;0,1,0)</f>
        <v>0</v>
      </c>
      <c r="CF55" s="150">
        <f>IF(Tabel2[[#This Row],[LPR 3]]&gt;0,1,0)</f>
        <v>0</v>
      </c>
      <c r="CG55" s="150">
        <f>IF(Tabel2[[#This Row],[LPR 4]]&gt;0,1,0)</f>
        <v>0</v>
      </c>
      <c r="CH55" s="150">
        <f>IF(Tabel2[[#This Row],[LPR 5]]&gt;0,1,0)</f>
        <v>0</v>
      </c>
      <c r="CI55" s="150">
        <f>IF(Tabel2[[#This Row],[LPR 6]]&gt;0,1,0)</f>
        <v>0</v>
      </c>
      <c r="CJ55" s="150">
        <f>IF(Tabel2[[#This Row],[LPR 7]]&gt;0,1,0)</f>
        <v>0</v>
      </c>
      <c r="CK55" s="150">
        <f>IF(Tabel2[[#This Row],[LPR 8]]&gt;0,1,0)</f>
        <v>0</v>
      </c>
      <c r="CL55" s="150">
        <f>IF(Tabel2[[#This Row],[LPR 9]]&gt;0,1,0)</f>
        <v>0</v>
      </c>
      <c r="CM55" s="150">
        <f>IF(Tabel2[[#This Row],[LPR 10]]&gt;0,1,0)</f>
        <v>0</v>
      </c>
      <c r="CN55" s="150">
        <f>SUM(Tabel7[[#This Row],[sep]:[jun]])</f>
        <v>0</v>
      </c>
      <c r="CO55" s="22" t="str">
        <f t="shared" si="1"/>
        <v/>
      </c>
      <c r="CP55" s="22" t="str">
        <f t="shared" si="2"/>
        <v/>
      </c>
      <c r="CQ55" s="22" t="str">
        <f t="shared" si="3"/>
        <v/>
      </c>
      <c r="CR55" s="22" t="str">
        <f t="shared" si="4"/>
        <v/>
      </c>
      <c r="CS55" s="22" t="str">
        <f t="shared" si="5"/>
        <v/>
      </c>
    </row>
    <row r="56" spans="1:97" x14ac:dyDescent="0.3">
      <c r="A56" s="22" t="s">
        <v>190</v>
      </c>
      <c r="B56" s="22" t="s">
        <v>149</v>
      </c>
      <c r="D56" s="22" t="s">
        <v>163</v>
      </c>
      <c r="E56" t="s">
        <v>235</v>
      </c>
      <c r="F56" s="22">
        <v>119672</v>
      </c>
      <c r="G56" s="25" t="s">
        <v>167</v>
      </c>
      <c r="H56" s="142">
        <f>Tabel2[[#This Row],[pnt t/m 2021/22]]+Tabel2[[#This Row],[pnt 2022/2023]]</f>
        <v>137.40259740259739</v>
      </c>
      <c r="I56">
        <v>2011</v>
      </c>
      <c r="J56">
        <v>2022</v>
      </c>
      <c r="K56" s="24">
        <f>Tabel2[[#This Row],[ijkdatum]]-Tabel2[[#This Row],[Geboren]]</f>
        <v>11</v>
      </c>
      <c r="L56" s="26">
        <f>Tabel2[[#This Row],[TTL 1]]+Tabel2[[#This Row],[TTL 2]]+Tabel2[[#This Row],[TTL 3]]+Tabel2[[#This Row],[TTL 4]]+Tabel2[[#This Row],[TTL 5]]+Tabel2[[#This Row],[TTL 6]]+Tabel2[[#This Row],[TTL 7]]+Tabel2[[#This Row],[TTL 8]]+Tabel2[[#This Row],[TTL 9]]+Tabel2[[#This Row],[TTL 10]]</f>
        <v>0</v>
      </c>
      <c r="M56" s="141">
        <v>137.40259740259739</v>
      </c>
      <c r="O56">
        <v>1</v>
      </c>
      <c r="S56" s="23">
        <f>SUM(Tabel2[[#This Row],[V 1]]*10+Tabel2[[#This Row],[GT 1]])/Tabel2[[#This Row],[AW 1]]*10+Tabel2[[#This Row],[BONUS 1]]</f>
        <v>0</v>
      </c>
      <c r="U56">
        <v>1</v>
      </c>
      <c r="Y56" s="23">
        <f>SUM(Tabel2[[#This Row],[V 2]]*10+Tabel2[[#This Row],[GT 2]])/Tabel2[[#This Row],[AW 2]]*10+Tabel2[[#This Row],[BONUS 2]]</f>
        <v>0</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S56">
        <v>1</v>
      </c>
      <c r="AW56" s="23">
        <f>SUM(Tabel2[[#This Row],[V 6]]*10+Tabel2[[#This Row],[GT 6]])/Tabel2[[#This Row],[AW 6]]*10+Tabel2[[#This Row],[BONUS 6]]</f>
        <v>0</v>
      </c>
      <c r="AY56">
        <v>1</v>
      </c>
      <c r="BC56" s="23">
        <f>SUM(Tabel2[[#This Row],[V 7]]*10+Tabel2[[#This Row],[GT 7]])/Tabel2[[#This Row],[AW 7]]*10+Tabel2[[#This Row],[BONUS 7]]</f>
        <v>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6" s="22">
        <v>0</v>
      </c>
      <c r="BX56" s="30">
        <f>Tabel2[[#This Row],[Diploma]]-Tabel2[[#This Row],[Uitgeschreven]]</f>
        <v>0</v>
      </c>
      <c r="BY56" s="2" t="str">
        <f t="shared" si="7"/>
        <v>geen actie</v>
      </c>
      <c r="CA56" s="150">
        <f>Tabel2[[#This Row],[pnt t/m 2021/22]]</f>
        <v>137.40259740259739</v>
      </c>
      <c r="CB56" s="150">
        <f>Tabel2[[#This Row],[pnt 2022/2023]]</f>
        <v>0</v>
      </c>
      <c r="CC56" s="150">
        <f t="shared" si="6"/>
        <v>137.40259740259739</v>
      </c>
      <c r="CD56" s="150">
        <f>IF(Tabel2[[#This Row],[LPR 1]]&gt;0,1,0)</f>
        <v>0</v>
      </c>
      <c r="CE56" s="150">
        <f>IF(Tabel2[[#This Row],[LPR 2]]&gt;0,1,0)</f>
        <v>0</v>
      </c>
      <c r="CF56" s="150">
        <f>IF(Tabel2[[#This Row],[LPR 3]]&gt;0,1,0)</f>
        <v>0</v>
      </c>
      <c r="CG56" s="150">
        <f>IF(Tabel2[[#This Row],[LPR 4]]&gt;0,1,0)</f>
        <v>0</v>
      </c>
      <c r="CH56" s="150">
        <f>IF(Tabel2[[#This Row],[LPR 5]]&gt;0,1,0)</f>
        <v>0</v>
      </c>
      <c r="CI56" s="150">
        <f>IF(Tabel2[[#This Row],[LPR 6]]&gt;0,1,0)</f>
        <v>0</v>
      </c>
      <c r="CJ56" s="150">
        <f>IF(Tabel2[[#This Row],[LPR 7]]&gt;0,1,0)</f>
        <v>0</v>
      </c>
      <c r="CK56" s="150">
        <f>IF(Tabel2[[#This Row],[LPR 8]]&gt;0,1,0)</f>
        <v>0</v>
      </c>
      <c r="CL56" s="150">
        <f>IF(Tabel2[[#This Row],[LPR 9]]&gt;0,1,0)</f>
        <v>0</v>
      </c>
      <c r="CM56" s="150">
        <f>IF(Tabel2[[#This Row],[LPR 10]]&gt;0,1,0)</f>
        <v>0</v>
      </c>
      <c r="CN56" s="150">
        <f>SUM(Tabel7[[#This Row],[sep]:[jun]])</f>
        <v>0</v>
      </c>
      <c r="CO56" s="22" t="str">
        <f t="shared" si="1"/>
        <v/>
      </c>
      <c r="CP56" s="22" t="str">
        <f t="shared" si="2"/>
        <v/>
      </c>
      <c r="CQ56" s="22" t="str">
        <f t="shared" si="3"/>
        <v/>
      </c>
      <c r="CR56" s="22" t="str">
        <f t="shared" si="4"/>
        <v/>
      </c>
      <c r="CS56" s="22" t="str">
        <f t="shared" si="5"/>
        <v/>
      </c>
    </row>
    <row r="57" spans="1:97" x14ac:dyDescent="0.3">
      <c r="A57" s="22" t="s">
        <v>153</v>
      </c>
      <c r="B57" s="22" t="s">
        <v>149</v>
      </c>
      <c r="D57" s="22" t="s">
        <v>160</v>
      </c>
      <c r="E57" t="s">
        <v>236</v>
      </c>
      <c r="F57" s="22">
        <v>120285</v>
      </c>
      <c r="G57" s="25" t="s">
        <v>155</v>
      </c>
      <c r="H57" s="142">
        <f>Tabel2[[#This Row],[pnt t/m 2021/22]]+Tabel2[[#This Row],[pnt 2022/2023]]</f>
        <v>430.95879120879118</v>
      </c>
      <c r="I57">
        <v>2006</v>
      </c>
      <c r="J57">
        <v>2022</v>
      </c>
      <c r="K57" s="24">
        <f>Tabel2[[#This Row],[ijkdatum]]-Tabel2[[#This Row],[Geboren]]</f>
        <v>16</v>
      </c>
      <c r="L57" s="26">
        <f>Tabel2[[#This Row],[TTL 1]]+Tabel2[[#This Row],[TTL 2]]+Tabel2[[#This Row],[TTL 3]]+Tabel2[[#This Row],[TTL 4]]+Tabel2[[#This Row],[TTL 5]]+Tabel2[[#This Row],[TTL 6]]+Tabel2[[#This Row],[TTL 7]]+Tabel2[[#This Row],[TTL 8]]+Tabel2[[#This Row],[TTL 9]]+Tabel2[[#This Row],[TTL 10]]</f>
        <v>220.28571428571428</v>
      </c>
      <c r="M57" s="141">
        <v>210.67307692307691</v>
      </c>
      <c r="O57">
        <v>1</v>
      </c>
      <c r="S57" s="23">
        <f>SUM(Tabel2[[#This Row],[V 1]]*10+Tabel2[[#This Row],[GT 1]])/Tabel2[[#This Row],[AW 1]]*10+Tabel2[[#This Row],[BONUS 1]]</f>
        <v>0</v>
      </c>
      <c r="T57">
        <v>7</v>
      </c>
      <c r="U57">
        <v>7</v>
      </c>
      <c r="V57">
        <v>4</v>
      </c>
      <c r="W57">
        <v>26</v>
      </c>
      <c r="Y57" s="23">
        <f>SUM(Tabel2[[#This Row],[V 2]]*10+Tabel2[[#This Row],[GT 2]])/Tabel2[[#This Row],[AW 2]]*10+Tabel2[[#This Row],[BONUS 2]]</f>
        <v>94.285714285714292</v>
      </c>
      <c r="Z57">
        <v>7</v>
      </c>
      <c r="AA57">
        <v>5</v>
      </c>
      <c r="AB57">
        <v>4</v>
      </c>
      <c r="AC57">
        <v>23</v>
      </c>
      <c r="AE57" s="23">
        <f>SUM(Tabel2[[#This Row],[V 3]]*10+Tabel2[[#This Row],[GT 3]])/Tabel2[[#This Row],[AW 3]]*10+Tabel2[[#This Row],[BONUS 3]]</f>
        <v>126</v>
      </c>
      <c r="AG57">
        <v>1</v>
      </c>
      <c r="AK57" s="23">
        <f>SUM(Tabel2[[#This Row],[V 4]]*10+Tabel2[[#This Row],[GT 4]])/Tabel2[[#This Row],[AW 4]]*10+Tabel2[[#This Row],[BONUS 4]]</f>
        <v>0</v>
      </c>
      <c r="AM57">
        <v>1</v>
      </c>
      <c r="AQ57" s="23">
        <f>SUM(Tabel2[[#This Row],[V 5]]*10+Tabel2[[#This Row],[GT 5]])/Tabel2[[#This Row],[AW 5]]*10+Tabel2[[#This Row],[BONUS 5]]</f>
        <v>0</v>
      </c>
      <c r="AS57">
        <v>1</v>
      </c>
      <c r="AW57" s="23">
        <f>SUM(Tabel2[[#This Row],[V 6]]*10+Tabel2[[#This Row],[GT 6]])/Tabel2[[#This Row],[AW 6]]*10+Tabel2[[#This Row],[BONUS 6]]</f>
        <v>0</v>
      </c>
      <c r="AY57">
        <v>1</v>
      </c>
      <c r="BC57" s="23">
        <f>SUM(Tabel2[[#This Row],[V 7]]*10+Tabel2[[#This Row],[GT 7]])/Tabel2[[#This Row],[AW 7]]*10+Tabel2[[#This Row],[BONUS 7]]</f>
        <v>0</v>
      </c>
      <c r="BE57">
        <v>1</v>
      </c>
      <c r="BI57" s="23">
        <f>SUM(Tabel2[[#This Row],[V 8]]*10+Tabel2[[#This Row],[GT 8]])/Tabel2[[#This Row],[AW 8]]*10+Tabel2[[#This Row],[BONUS 8]]</f>
        <v>0</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7" s="22">
        <v>250</v>
      </c>
      <c r="BX57" s="30">
        <f>Tabel2[[#This Row],[Diploma]]-Tabel2[[#This Row],[Uitgeschreven]]</f>
        <v>0</v>
      </c>
      <c r="BY57" s="2" t="str">
        <f t="shared" si="7"/>
        <v>geen actie</v>
      </c>
      <c r="CA57" s="150">
        <f>Tabel2[[#This Row],[pnt t/m 2021/22]]</f>
        <v>210.67307692307691</v>
      </c>
      <c r="CB57" s="150">
        <f>Tabel2[[#This Row],[pnt 2022/2023]]</f>
        <v>220.28571428571428</v>
      </c>
      <c r="CC57" s="150">
        <f t="shared" si="6"/>
        <v>430.95879120879118</v>
      </c>
      <c r="CD57" s="150">
        <f>IF(Tabel2[[#This Row],[LPR 1]]&gt;0,1,0)</f>
        <v>0</v>
      </c>
      <c r="CE57" s="150">
        <f>IF(Tabel2[[#This Row],[LPR 2]]&gt;0,1,0)</f>
        <v>1</v>
      </c>
      <c r="CF57" s="150">
        <f>IF(Tabel2[[#This Row],[LPR 3]]&gt;0,1,0)</f>
        <v>1</v>
      </c>
      <c r="CG57" s="150">
        <f>IF(Tabel2[[#This Row],[LPR 4]]&gt;0,1,0)</f>
        <v>0</v>
      </c>
      <c r="CH57" s="150">
        <f>IF(Tabel2[[#This Row],[LPR 5]]&gt;0,1,0)</f>
        <v>0</v>
      </c>
      <c r="CI57" s="150">
        <f>IF(Tabel2[[#This Row],[LPR 6]]&gt;0,1,0)</f>
        <v>0</v>
      </c>
      <c r="CJ57" s="150">
        <f>IF(Tabel2[[#This Row],[LPR 7]]&gt;0,1,0)</f>
        <v>0</v>
      </c>
      <c r="CK57" s="150">
        <f>IF(Tabel2[[#This Row],[LPR 8]]&gt;0,1,0)</f>
        <v>0</v>
      </c>
      <c r="CL57" s="150">
        <f>IF(Tabel2[[#This Row],[LPR 9]]&gt;0,1,0)</f>
        <v>0</v>
      </c>
      <c r="CM57" s="150">
        <f>IF(Tabel2[[#This Row],[LPR 10]]&gt;0,1,0)</f>
        <v>0</v>
      </c>
      <c r="CN57" s="150">
        <f>SUM(Tabel7[[#This Row],[sep]:[jun]])</f>
        <v>2</v>
      </c>
      <c r="CO57" s="22" t="str">
        <f t="shared" si="1"/>
        <v/>
      </c>
      <c r="CP57" s="22" t="str">
        <f t="shared" si="2"/>
        <v/>
      </c>
      <c r="CQ57" s="22" t="str">
        <f t="shared" si="3"/>
        <v/>
      </c>
      <c r="CR57" s="22" t="str">
        <f t="shared" si="4"/>
        <v/>
      </c>
      <c r="CS57" s="22" t="str">
        <f t="shared" si="5"/>
        <v/>
      </c>
    </row>
    <row r="58" spans="1:97" x14ac:dyDescent="0.3">
      <c r="A58" s="22" t="s">
        <v>148</v>
      </c>
      <c r="B58" s="22" t="s">
        <v>149</v>
      </c>
      <c r="D58" s="22" t="s">
        <v>160</v>
      </c>
      <c r="E58" t="s">
        <v>237</v>
      </c>
      <c r="F58" s="22">
        <v>120919</v>
      </c>
      <c r="G58" s="25" t="s">
        <v>169</v>
      </c>
      <c r="H58" s="142">
        <f>Tabel2[[#This Row],[pnt t/m 2021/22]]+Tabel2[[#This Row],[pnt 2022/2023]]</f>
        <v>100</v>
      </c>
      <c r="I58">
        <v>2009</v>
      </c>
      <c r="J58">
        <v>2023</v>
      </c>
      <c r="K58" s="24">
        <f>Tabel2[[#This Row],[ijkdatum]]-Tabel2[[#This Row],[Geboren]]</f>
        <v>14</v>
      </c>
      <c r="L58" s="26">
        <f>Tabel2[[#This Row],[TTL 1]]+Tabel2[[#This Row],[TTL 2]]+Tabel2[[#This Row],[TTL 3]]+Tabel2[[#This Row],[TTL 4]]+Tabel2[[#This Row],[TTL 5]]+Tabel2[[#This Row],[TTL 6]]+Tabel2[[#This Row],[TTL 7]]+Tabel2[[#This Row],[TTL 8]]+Tabel2[[#This Row],[TTL 9]]+Tabel2[[#This Row],[TTL 10]]</f>
        <v>100</v>
      </c>
      <c r="M58" s="151"/>
      <c r="N58">
        <v>3</v>
      </c>
      <c r="O58">
        <v>10</v>
      </c>
      <c r="P58">
        <v>6</v>
      </c>
      <c r="Q58">
        <v>40</v>
      </c>
      <c r="S58" s="23">
        <f>SUM(Tabel2[[#This Row],[V 1]]*10+Tabel2[[#This Row],[GT 1]])/Tabel2[[#This Row],[AW 1]]*10+Tabel2[[#This Row],[BONUS 1]]</f>
        <v>100</v>
      </c>
      <c r="U58">
        <v>1</v>
      </c>
      <c r="Y58" s="23">
        <f>SUM(Tabel2[[#This Row],[V 2]]*10+Tabel2[[#This Row],[GT 2]])/Tabel2[[#This Row],[AW 2]]*10+Tabel2[[#This Row],[BONUS 2]]</f>
        <v>0</v>
      </c>
      <c r="AA58">
        <v>1</v>
      </c>
      <c r="AE58" s="23">
        <f>SUM(Tabel2[[#This Row],[V 3]]*10+Tabel2[[#This Row],[GT 3]])/Tabel2[[#This Row],[AW 3]]*10+Tabel2[[#This Row],[BONUS 3]]</f>
        <v>0</v>
      </c>
      <c r="AG58">
        <v>1</v>
      </c>
      <c r="AK58" s="23">
        <f>SUM(Tabel2[[#This Row],[V 4]]*10+Tabel2[[#This Row],[GT 4]])/Tabel2[[#This Row],[AW 4]]*10+Tabel2[[#This Row],[BONUS 4]]</f>
        <v>0</v>
      </c>
      <c r="AM58">
        <v>1</v>
      </c>
      <c r="AQ58" s="23">
        <f>SUM(Tabel2[[#This Row],[V 5]]*10+Tabel2[[#This Row],[GT 5]])/Tabel2[[#This Row],[AW 5]]*10+Tabel2[[#This Row],[BONUS 5]]</f>
        <v>0</v>
      </c>
      <c r="AS58">
        <v>1</v>
      </c>
      <c r="AW58" s="23">
        <f>SUM(Tabel2[[#This Row],[V 6]]*10+Tabel2[[#This Row],[GT 6]])/Tabel2[[#This Row],[AW 6]]*10+Tabel2[[#This Row],[BONUS 6]]</f>
        <v>0</v>
      </c>
      <c r="AY58">
        <v>1</v>
      </c>
      <c r="BC58" s="23">
        <f>SUM(Tabel2[[#This Row],[V 7]]*10+Tabel2[[#This Row],[GT 7]])/Tabel2[[#This Row],[AW 7]]*10+Tabel2[[#This Row],[BONUS 7]]</f>
        <v>0</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8" s="22">
        <v>0</v>
      </c>
      <c r="BX58" s="30">
        <f>Tabel2[[#This Row],[Diploma]]-Tabel2[[#This Row],[Uitgeschreven]]</f>
        <v>0</v>
      </c>
      <c r="BY58" s="2" t="str">
        <f t="shared" si="7"/>
        <v>geen actie</v>
      </c>
      <c r="CA58" s="150">
        <f>Tabel2[[#This Row],[pnt t/m 2021/22]]</f>
        <v>0</v>
      </c>
      <c r="CB58" s="150">
        <f>Tabel2[[#This Row],[pnt 2022/2023]]</f>
        <v>100</v>
      </c>
      <c r="CC58" s="150">
        <f t="shared" si="6"/>
        <v>100</v>
      </c>
      <c r="CD58" s="150">
        <f>IF(Tabel2[[#This Row],[LPR 1]]&gt;0,1,0)</f>
        <v>1</v>
      </c>
      <c r="CE58" s="150">
        <f>IF(Tabel2[[#This Row],[LPR 2]]&gt;0,1,0)</f>
        <v>0</v>
      </c>
      <c r="CF58" s="150">
        <f>IF(Tabel2[[#This Row],[LPR 3]]&gt;0,1,0)</f>
        <v>0</v>
      </c>
      <c r="CG58" s="150">
        <f>IF(Tabel2[[#This Row],[LPR 4]]&gt;0,1,0)</f>
        <v>0</v>
      </c>
      <c r="CH58" s="150">
        <f>IF(Tabel2[[#This Row],[LPR 5]]&gt;0,1,0)</f>
        <v>0</v>
      </c>
      <c r="CI58" s="150">
        <f>IF(Tabel2[[#This Row],[LPR 6]]&gt;0,1,0)</f>
        <v>0</v>
      </c>
      <c r="CJ58" s="150">
        <f>IF(Tabel2[[#This Row],[LPR 7]]&gt;0,1,0)</f>
        <v>0</v>
      </c>
      <c r="CK58" s="150">
        <f>IF(Tabel2[[#This Row],[LPR 8]]&gt;0,1,0)</f>
        <v>0</v>
      </c>
      <c r="CL58" s="150">
        <f>IF(Tabel2[[#This Row],[LPR 9]]&gt;0,1,0)</f>
        <v>0</v>
      </c>
      <c r="CM58" s="150">
        <f>IF(Tabel2[[#This Row],[LPR 10]]&gt;0,1,0)</f>
        <v>0</v>
      </c>
      <c r="CN58" s="150">
        <f>SUM(Tabel7[[#This Row],[sep]:[jun]])</f>
        <v>1</v>
      </c>
      <c r="CO58" s="22" t="str">
        <f t="shared" si="1"/>
        <v/>
      </c>
      <c r="CP58" s="22" t="str">
        <f t="shared" si="2"/>
        <v/>
      </c>
      <c r="CQ58" s="22" t="str">
        <f t="shared" si="3"/>
        <v/>
      </c>
      <c r="CR58" s="22" t="str">
        <f t="shared" si="4"/>
        <v/>
      </c>
      <c r="CS58" s="22" t="str">
        <f t="shared" si="5"/>
        <v/>
      </c>
    </row>
    <row r="59" spans="1:97" x14ac:dyDescent="0.3">
      <c r="A59" s="22" t="s">
        <v>190</v>
      </c>
      <c r="B59" s="22" t="s">
        <v>149</v>
      </c>
      <c r="D59" s="22" t="s">
        <v>163</v>
      </c>
      <c r="E59" t="s">
        <v>238</v>
      </c>
      <c r="F59" s="22">
        <v>119423</v>
      </c>
      <c r="G59" s="25" t="s">
        <v>206</v>
      </c>
      <c r="H59" s="142">
        <f>Tabel2[[#This Row],[pnt t/m 2021/22]]+Tabel2[[#This Row],[pnt 2022/2023]]</f>
        <v>187.97619047619048</v>
      </c>
      <c r="I59">
        <v>2011</v>
      </c>
      <c r="J59">
        <v>2022</v>
      </c>
      <c r="K59" s="24">
        <f>Tabel2[[#This Row],[ijkdatum]]-Tabel2[[#This Row],[Geboren]]</f>
        <v>11</v>
      </c>
      <c r="L59" s="26">
        <f>Tabel2[[#This Row],[TTL 1]]+Tabel2[[#This Row],[TTL 2]]+Tabel2[[#This Row],[TTL 3]]+Tabel2[[#This Row],[TTL 4]]+Tabel2[[#This Row],[TTL 5]]+Tabel2[[#This Row],[TTL 6]]+Tabel2[[#This Row],[TTL 7]]+Tabel2[[#This Row],[TTL 8]]+Tabel2[[#This Row],[TTL 9]]+Tabel2[[#This Row],[TTL 10]]</f>
        <v>0</v>
      </c>
      <c r="M59" s="141">
        <v>187.97619047619048</v>
      </c>
      <c r="O59">
        <v>1</v>
      </c>
      <c r="S59" s="23">
        <f>SUM(Tabel2[[#This Row],[V 1]]*10+Tabel2[[#This Row],[GT 1]])/Tabel2[[#This Row],[AW 1]]*10+Tabel2[[#This Row],[BONUS 1]]</f>
        <v>0</v>
      </c>
      <c r="U59">
        <v>1</v>
      </c>
      <c r="Y59" s="23">
        <f>SUM(Tabel2[[#This Row],[V 2]]*10+Tabel2[[#This Row],[GT 2]])/Tabel2[[#This Row],[AW 2]]*10+Tabel2[[#This Row],[BONUS 2]]</f>
        <v>0</v>
      </c>
      <c r="AA59">
        <v>1</v>
      </c>
      <c r="AE59" s="23">
        <f>SUM(Tabel2[[#This Row],[V 3]]*10+Tabel2[[#This Row],[GT 3]])/Tabel2[[#This Row],[AW 3]]*10+Tabel2[[#This Row],[BONUS 3]]</f>
        <v>0</v>
      </c>
      <c r="AG59">
        <v>1</v>
      </c>
      <c r="AK59" s="23">
        <f>SUM(Tabel2[[#This Row],[V 4]]*10+Tabel2[[#This Row],[GT 4]])/Tabel2[[#This Row],[AW 4]]*10+Tabel2[[#This Row],[BONUS 4]]</f>
        <v>0</v>
      </c>
      <c r="AM59">
        <v>1</v>
      </c>
      <c r="AQ59" s="23">
        <f>SUM(Tabel2[[#This Row],[V 5]]*10+Tabel2[[#This Row],[GT 5]])/Tabel2[[#This Row],[AW 5]]*10+Tabel2[[#This Row],[BONUS 5]]</f>
        <v>0</v>
      </c>
      <c r="AS59">
        <v>1</v>
      </c>
      <c r="AW59" s="23">
        <f>SUM(Tabel2[[#This Row],[V 6]]*10+Tabel2[[#This Row],[GT 6]])/Tabel2[[#This Row],[AW 6]]*10+Tabel2[[#This Row],[BONUS 6]]</f>
        <v>0</v>
      </c>
      <c r="AY59">
        <v>1</v>
      </c>
      <c r="BC59" s="23">
        <f>SUM(Tabel2[[#This Row],[V 7]]*10+Tabel2[[#This Row],[GT 7]])/Tabel2[[#This Row],[AW 7]]*10+Tabel2[[#This Row],[BONUS 7]]</f>
        <v>0</v>
      </c>
      <c r="BE59">
        <v>1</v>
      </c>
      <c r="BI59" s="23">
        <f>SUM(Tabel2[[#This Row],[V 8]]*10+Tabel2[[#This Row],[GT 8]])/Tabel2[[#This Row],[AW 8]]*10+Tabel2[[#This Row],[BONUS 8]]</f>
        <v>0</v>
      </c>
      <c r="BK59">
        <v>1</v>
      </c>
      <c r="BO59" s="23">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9" s="22">
        <v>0</v>
      </c>
      <c r="BX59" s="30">
        <f>Tabel2[[#This Row],[Diploma]]-Tabel2[[#This Row],[Uitgeschreven]]</f>
        <v>0</v>
      </c>
      <c r="BY59" s="2" t="str">
        <f t="shared" si="7"/>
        <v>geen actie</v>
      </c>
      <c r="CA59" s="150">
        <f>Tabel2[[#This Row],[pnt t/m 2021/22]]</f>
        <v>187.97619047619048</v>
      </c>
      <c r="CB59" s="150">
        <f>Tabel2[[#This Row],[pnt 2022/2023]]</f>
        <v>0</v>
      </c>
      <c r="CC59" s="150">
        <f t="shared" si="6"/>
        <v>187.97619047619048</v>
      </c>
      <c r="CD59" s="150">
        <f>IF(Tabel2[[#This Row],[LPR 1]]&gt;0,1,0)</f>
        <v>0</v>
      </c>
      <c r="CE59" s="150">
        <f>IF(Tabel2[[#This Row],[LPR 2]]&gt;0,1,0)</f>
        <v>0</v>
      </c>
      <c r="CF59" s="150">
        <f>IF(Tabel2[[#This Row],[LPR 3]]&gt;0,1,0)</f>
        <v>0</v>
      </c>
      <c r="CG59" s="150">
        <f>IF(Tabel2[[#This Row],[LPR 4]]&gt;0,1,0)</f>
        <v>0</v>
      </c>
      <c r="CH59" s="150">
        <f>IF(Tabel2[[#This Row],[LPR 5]]&gt;0,1,0)</f>
        <v>0</v>
      </c>
      <c r="CI59" s="150">
        <f>IF(Tabel2[[#This Row],[LPR 6]]&gt;0,1,0)</f>
        <v>0</v>
      </c>
      <c r="CJ59" s="150">
        <f>IF(Tabel2[[#This Row],[LPR 7]]&gt;0,1,0)</f>
        <v>0</v>
      </c>
      <c r="CK59" s="150">
        <f>IF(Tabel2[[#This Row],[LPR 8]]&gt;0,1,0)</f>
        <v>0</v>
      </c>
      <c r="CL59" s="150">
        <f>IF(Tabel2[[#This Row],[LPR 9]]&gt;0,1,0)</f>
        <v>0</v>
      </c>
      <c r="CM59" s="150">
        <f>IF(Tabel2[[#This Row],[LPR 10]]&gt;0,1,0)</f>
        <v>0</v>
      </c>
      <c r="CN59" s="150">
        <f>SUM(Tabel7[[#This Row],[sep]:[jun]])</f>
        <v>0</v>
      </c>
      <c r="CO59" s="22" t="str">
        <f t="shared" si="1"/>
        <v/>
      </c>
      <c r="CP59" s="22" t="str">
        <f t="shared" si="2"/>
        <v/>
      </c>
      <c r="CQ59" s="22" t="str">
        <f t="shared" si="3"/>
        <v/>
      </c>
      <c r="CR59" s="22" t="str">
        <f t="shared" si="4"/>
        <v/>
      </c>
      <c r="CS59" s="22" t="str">
        <f t="shared" si="5"/>
        <v/>
      </c>
    </row>
    <row r="60" spans="1:97" x14ac:dyDescent="0.3">
      <c r="A60" s="22" t="s">
        <v>148</v>
      </c>
      <c r="B60" s="22" t="s">
        <v>149</v>
      </c>
      <c r="D60" s="22" t="s">
        <v>150</v>
      </c>
      <c r="E60" t="s">
        <v>239</v>
      </c>
      <c r="F60" s="22">
        <v>120729</v>
      </c>
      <c r="G60" s="25" t="s">
        <v>240</v>
      </c>
      <c r="H60" s="142">
        <f>Tabel2[[#This Row],[pnt t/m 2021/22]]+Tabel2[[#This Row],[pnt 2022/2023]]</f>
        <v>178</v>
      </c>
      <c r="I60">
        <v>2011</v>
      </c>
      <c r="J60">
        <v>2023</v>
      </c>
      <c r="K60" s="24">
        <f>Tabel2[[#This Row],[ijkdatum]]-Tabel2[[#This Row],[Geboren]]</f>
        <v>12</v>
      </c>
      <c r="L60" s="26">
        <f>Tabel2[[#This Row],[TTL 1]]+Tabel2[[#This Row],[TTL 2]]+Tabel2[[#This Row],[TTL 3]]+Tabel2[[#This Row],[TTL 4]]+Tabel2[[#This Row],[TTL 5]]+Tabel2[[#This Row],[TTL 6]]+Tabel2[[#This Row],[TTL 7]]+Tabel2[[#This Row],[TTL 8]]+Tabel2[[#This Row],[TTL 9]]+Tabel2[[#This Row],[TTL 10]]</f>
        <v>178</v>
      </c>
      <c r="M60" s="141"/>
      <c r="N60">
        <v>4</v>
      </c>
      <c r="O60">
        <v>10</v>
      </c>
      <c r="P60">
        <v>8</v>
      </c>
      <c r="Q60">
        <v>48</v>
      </c>
      <c r="S60" s="23">
        <f>SUM(Tabel2[[#This Row],[V 1]]*10+Tabel2[[#This Row],[GT 1]])/Tabel2[[#This Row],[AW 1]]*10+Tabel2[[#This Row],[BONUS 1]]</f>
        <v>128</v>
      </c>
      <c r="T60">
        <v>1</v>
      </c>
      <c r="U60">
        <v>1</v>
      </c>
      <c r="X60">
        <v>50</v>
      </c>
      <c r="Y60" s="23">
        <f>SUM(Tabel2[[#This Row],[V 2]]*10+Tabel2[[#This Row],[GT 2]])/Tabel2[[#This Row],[AW 2]]*10+Tabel2[[#This Row],[BONUS 2]]</f>
        <v>50</v>
      </c>
      <c r="AA60">
        <v>1</v>
      </c>
      <c r="AE60" s="23">
        <f>SUM(Tabel2[[#This Row],[V 3]]*10+Tabel2[[#This Row],[GT 3]])/Tabel2[[#This Row],[AW 3]]*10+Tabel2[[#This Row],[BONUS 3]]</f>
        <v>0</v>
      </c>
      <c r="AG60">
        <v>1</v>
      </c>
      <c r="AK60" s="23">
        <f>SUM(Tabel2[[#This Row],[V 4]]*10+Tabel2[[#This Row],[GT 4]])/Tabel2[[#This Row],[AW 4]]*10+Tabel2[[#This Row],[BONUS 4]]</f>
        <v>0</v>
      </c>
      <c r="AM60">
        <v>1</v>
      </c>
      <c r="AQ60" s="23">
        <f>SUM(Tabel2[[#This Row],[V 5]]*10+Tabel2[[#This Row],[GT 5]])/Tabel2[[#This Row],[AW 5]]*10+Tabel2[[#This Row],[BONUS 5]]</f>
        <v>0</v>
      </c>
      <c r="AS60">
        <v>1</v>
      </c>
      <c r="AW60" s="23">
        <f>SUM(Tabel2[[#This Row],[V 6]]*10+Tabel2[[#This Row],[GT 6]])/Tabel2[[#This Row],[AW 6]]*10+Tabel2[[#This Row],[BONUS 6]]</f>
        <v>0</v>
      </c>
      <c r="AY60">
        <v>1</v>
      </c>
      <c r="BC60" s="23">
        <f>SUM(Tabel2[[#This Row],[V 7]]*10+Tabel2[[#This Row],[GT 7]])/Tabel2[[#This Row],[AW 7]]*10+Tabel2[[#This Row],[BONUS 7]]</f>
        <v>0</v>
      </c>
      <c r="BE60">
        <v>1</v>
      </c>
      <c r="BI60" s="23">
        <f>SUM(Tabel2[[#This Row],[V 8]]*10+Tabel2[[#This Row],[GT 8]])/Tabel2[[#This Row],[AW 8]]*10+Tabel2[[#This Row],[BONUS 8]]</f>
        <v>0</v>
      </c>
      <c r="BK60">
        <v>1</v>
      </c>
      <c r="BO60" s="23">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0" s="22">
        <v>0</v>
      </c>
      <c r="BX60" s="30">
        <f>Tabel2[[#This Row],[Diploma]]-Tabel2[[#This Row],[Uitgeschreven]]</f>
        <v>0</v>
      </c>
      <c r="BY60" s="2" t="str">
        <f t="shared" si="7"/>
        <v>geen actie</v>
      </c>
      <c r="CA60" s="150">
        <f>Tabel2[[#This Row],[pnt t/m 2021/22]]</f>
        <v>0</v>
      </c>
      <c r="CB60" s="150">
        <f>Tabel2[[#This Row],[pnt 2022/2023]]</f>
        <v>178</v>
      </c>
      <c r="CC60" s="150">
        <f t="shared" si="6"/>
        <v>178</v>
      </c>
      <c r="CD60" s="150">
        <f>IF(Tabel2[[#This Row],[LPR 1]]&gt;0,1,0)</f>
        <v>1</v>
      </c>
      <c r="CE60" s="150">
        <f>IF(Tabel2[[#This Row],[LPR 2]]&gt;0,1,0)</f>
        <v>1</v>
      </c>
      <c r="CF60" s="150">
        <f>IF(Tabel2[[#This Row],[LPR 3]]&gt;0,1,0)</f>
        <v>0</v>
      </c>
      <c r="CG60" s="150">
        <f>IF(Tabel2[[#This Row],[LPR 4]]&gt;0,1,0)</f>
        <v>0</v>
      </c>
      <c r="CH60" s="150">
        <f>IF(Tabel2[[#This Row],[LPR 5]]&gt;0,1,0)</f>
        <v>0</v>
      </c>
      <c r="CI60" s="150">
        <f>IF(Tabel2[[#This Row],[LPR 6]]&gt;0,1,0)</f>
        <v>0</v>
      </c>
      <c r="CJ60" s="150">
        <f>IF(Tabel2[[#This Row],[LPR 7]]&gt;0,1,0)</f>
        <v>0</v>
      </c>
      <c r="CK60" s="150">
        <f>IF(Tabel2[[#This Row],[LPR 8]]&gt;0,1,0)</f>
        <v>0</v>
      </c>
      <c r="CL60" s="150">
        <f>IF(Tabel2[[#This Row],[LPR 9]]&gt;0,1,0)</f>
        <v>0</v>
      </c>
      <c r="CM60" s="150">
        <f>IF(Tabel2[[#This Row],[LPR 10]]&gt;0,1,0)</f>
        <v>0</v>
      </c>
      <c r="CN60" s="150">
        <f>SUM(Tabel7[[#This Row],[sep]:[jun]])</f>
        <v>2</v>
      </c>
      <c r="CO60" s="22" t="str">
        <f t="shared" si="1"/>
        <v/>
      </c>
      <c r="CP60" s="22" t="str">
        <f t="shared" si="2"/>
        <v/>
      </c>
      <c r="CQ60" s="22" t="str">
        <f t="shared" si="3"/>
        <v/>
      </c>
      <c r="CR60" s="22" t="str">
        <f t="shared" si="4"/>
        <v/>
      </c>
      <c r="CS60" s="22" t="str">
        <f t="shared" si="5"/>
        <v/>
      </c>
    </row>
    <row r="61" spans="1:97" x14ac:dyDescent="0.3">
      <c r="A61" s="22" t="s">
        <v>153</v>
      </c>
      <c r="B61" s="22" t="s">
        <v>149</v>
      </c>
      <c r="D61" s="22" t="s">
        <v>160</v>
      </c>
      <c r="E61" t="s">
        <v>241</v>
      </c>
      <c r="F61" s="22">
        <v>120455</v>
      </c>
      <c r="G61" s="25" t="s">
        <v>171</v>
      </c>
      <c r="H61" s="23">
        <f>Tabel2[[#This Row],[pnt t/m 2021/22]]+Tabel2[[#This Row],[pnt 2022/2023]]</f>
        <v>138.66666666666666</v>
      </c>
      <c r="I61">
        <v>2013</v>
      </c>
      <c r="J61">
        <v>2022</v>
      </c>
      <c r="K61" s="24">
        <f>Tabel2[[#This Row],[ijkdatum]]-Tabel2[[#This Row],[Geboren]]</f>
        <v>9</v>
      </c>
      <c r="L61" s="26">
        <f>Tabel2[[#This Row],[TTL 1]]+Tabel2[[#This Row],[TTL 2]]+Tabel2[[#This Row],[TTL 3]]+Tabel2[[#This Row],[TTL 4]]+Tabel2[[#This Row],[TTL 5]]+Tabel2[[#This Row],[TTL 6]]+Tabel2[[#This Row],[TTL 7]]+Tabel2[[#This Row],[TTL 8]]+Tabel2[[#This Row],[TTL 9]]+Tabel2[[#This Row],[TTL 10]]</f>
        <v>122</v>
      </c>
      <c r="M61" s="157">
        <v>16.666666666666668</v>
      </c>
      <c r="O61">
        <v>1</v>
      </c>
      <c r="S61" s="153">
        <f>SUM(Tabel2[[#This Row],[V 1]]*10+Tabel2[[#This Row],[GT 1]])/Tabel2[[#This Row],[AW 1]]*10+Tabel2[[#This Row],[BONUS 1]]</f>
        <v>0</v>
      </c>
      <c r="U61">
        <v>1</v>
      </c>
      <c r="Y61" s="23">
        <f>SUM(Tabel2[[#This Row],[V 2]]*10+Tabel2[[#This Row],[GT 2]])/Tabel2[[#This Row],[AW 2]]*10+Tabel2[[#This Row],[BONUS 2]]</f>
        <v>0</v>
      </c>
      <c r="Z61">
        <v>8</v>
      </c>
      <c r="AA61">
        <v>5</v>
      </c>
      <c r="AB61">
        <v>4</v>
      </c>
      <c r="AC61">
        <v>21</v>
      </c>
      <c r="AE61" s="23">
        <f>SUM(Tabel2[[#This Row],[V 3]]*10+Tabel2[[#This Row],[GT 3]])/Tabel2[[#This Row],[AW 3]]*10+Tabel2[[#This Row],[BONUS 3]]</f>
        <v>122</v>
      </c>
      <c r="AG61">
        <v>1</v>
      </c>
      <c r="AK61" s="23">
        <f>SUM(Tabel2[[#This Row],[V 4]]*10+Tabel2[[#This Row],[GT 4]])/Tabel2[[#This Row],[AW 4]]*10+Tabel2[[#This Row],[BONUS 4]]</f>
        <v>0</v>
      </c>
      <c r="AM61">
        <v>1</v>
      </c>
      <c r="AQ61" s="23">
        <f>SUM(Tabel2[[#This Row],[V 5]]*10+Tabel2[[#This Row],[GT 5]])/Tabel2[[#This Row],[AW 5]]*10+Tabel2[[#This Row],[BONUS 5]]</f>
        <v>0</v>
      </c>
      <c r="AS61">
        <v>1</v>
      </c>
      <c r="AW61" s="23">
        <f>SUM(Tabel2[[#This Row],[V 6]]*10+Tabel2[[#This Row],[GT 6]])/Tabel2[[#This Row],[AW 6]]*10+Tabel2[[#This Row],[BONUS 6]]</f>
        <v>0</v>
      </c>
      <c r="AY61">
        <v>1</v>
      </c>
      <c r="BC61" s="23">
        <f>SUM(Tabel2[[#This Row],[V 7]]*10+Tabel2[[#This Row],[GT 7]])/Tabel2[[#This Row],[AW 7]]*10+Tabel2[[#This Row],[BONUS 7]]</f>
        <v>0</v>
      </c>
      <c r="BE61">
        <v>1</v>
      </c>
      <c r="BI61" s="23">
        <f>SUM(Tabel2[[#This Row],[V 8]]*10+Tabel2[[#This Row],[GT 8]])/Tabel2[[#This Row],[AW 8]]*10+Tabel2[[#This Row],[BONUS 8]]</f>
        <v>0</v>
      </c>
      <c r="BK61">
        <v>1</v>
      </c>
      <c r="BO61" s="23">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1" s="22">
        <v>0</v>
      </c>
      <c r="BX61" s="22">
        <f>Tabel2[[#This Row],[Diploma]]-Tabel2[[#This Row],[Uitgeschreven]]</f>
        <v>0</v>
      </c>
      <c r="BY61" s="155" t="str">
        <f t="shared" si="7"/>
        <v>geen actie</v>
      </c>
      <c r="CA61" s="150">
        <f>Tabel2[[#This Row],[pnt t/m 2021/22]]</f>
        <v>16.666666666666668</v>
      </c>
      <c r="CB61" s="150">
        <f>Tabel2[[#This Row],[pnt 2022/2023]]</f>
        <v>122</v>
      </c>
      <c r="CC61" s="150">
        <f t="shared" si="6"/>
        <v>138.66666666666666</v>
      </c>
      <c r="CD61" s="150">
        <f>IF(Tabel2[[#This Row],[LPR 1]]&gt;0,1,0)</f>
        <v>0</v>
      </c>
      <c r="CE61" s="150">
        <f>IF(Tabel2[[#This Row],[LPR 2]]&gt;0,1,0)</f>
        <v>0</v>
      </c>
      <c r="CF61" s="150">
        <f>IF(Tabel2[[#This Row],[LPR 3]]&gt;0,1,0)</f>
        <v>1</v>
      </c>
      <c r="CG61" s="150">
        <f>IF(Tabel2[[#This Row],[LPR 4]]&gt;0,1,0)</f>
        <v>0</v>
      </c>
      <c r="CH61" s="150">
        <f>IF(Tabel2[[#This Row],[LPR 5]]&gt;0,1,0)</f>
        <v>0</v>
      </c>
      <c r="CI61" s="150">
        <f>IF(Tabel2[[#This Row],[LPR 6]]&gt;0,1,0)</f>
        <v>0</v>
      </c>
      <c r="CJ61" s="150">
        <f>IF(Tabel2[[#This Row],[LPR 7]]&gt;0,1,0)</f>
        <v>0</v>
      </c>
      <c r="CK61" s="150">
        <f>IF(Tabel2[[#This Row],[LPR 8]]&gt;0,1,0)</f>
        <v>0</v>
      </c>
      <c r="CL61" s="150">
        <f>IF(Tabel2[[#This Row],[LPR 9]]&gt;0,1,0)</f>
        <v>0</v>
      </c>
      <c r="CM61" s="150">
        <f>IF(Tabel2[[#This Row],[LPR 10]]&gt;0,1,0)</f>
        <v>0</v>
      </c>
      <c r="CN61" s="150">
        <f>SUM(Tabel7[[#This Row],[sep]:[jun]])</f>
        <v>1</v>
      </c>
      <c r="CO61" s="22" t="str">
        <f t="shared" si="1"/>
        <v/>
      </c>
      <c r="CP61" s="22" t="str">
        <f t="shared" si="2"/>
        <v/>
      </c>
      <c r="CQ61" s="22" t="str">
        <f t="shared" si="3"/>
        <v/>
      </c>
      <c r="CR61" s="22" t="str">
        <f t="shared" si="4"/>
        <v/>
      </c>
      <c r="CS61" s="22" t="str">
        <f t="shared" si="5"/>
        <v/>
      </c>
    </row>
    <row r="62" spans="1:97" x14ac:dyDescent="0.3">
      <c r="A62" s="22" t="s">
        <v>190</v>
      </c>
      <c r="B62" s="22" t="s">
        <v>149</v>
      </c>
      <c r="D62" s="22" t="s">
        <v>163</v>
      </c>
      <c r="E62" t="s">
        <v>242</v>
      </c>
      <c r="F62" s="22">
        <v>119737</v>
      </c>
      <c r="G62" s="25" t="s">
        <v>167</v>
      </c>
      <c r="H62" s="23">
        <f>Tabel2[[#This Row],[pnt t/m 2021/22]]+Tabel2[[#This Row],[pnt 2022/2023]]</f>
        <v>48.571428571428569</v>
      </c>
      <c r="I62">
        <v>2011</v>
      </c>
      <c r="J62">
        <v>2022</v>
      </c>
      <c r="K62" s="24">
        <f>Tabel2[[#This Row],[ijkdatum]]-Tabel2[[#This Row],[Geboren]]</f>
        <v>11</v>
      </c>
      <c r="L62" s="26">
        <f>Tabel2[[#This Row],[TTL 1]]+Tabel2[[#This Row],[TTL 2]]+Tabel2[[#This Row],[TTL 3]]+Tabel2[[#This Row],[TTL 4]]+Tabel2[[#This Row],[TTL 5]]+Tabel2[[#This Row],[TTL 6]]+Tabel2[[#This Row],[TTL 7]]+Tabel2[[#This Row],[TTL 8]]+Tabel2[[#This Row],[TTL 9]]+Tabel2[[#This Row],[TTL 10]]</f>
        <v>0</v>
      </c>
      <c r="M62" s="153">
        <v>48.571428571428569</v>
      </c>
      <c r="O62">
        <v>1</v>
      </c>
      <c r="S62" s="153">
        <f>SUM(Tabel2[[#This Row],[V 1]]*10+Tabel2[[#This Row],[GT 1]])/Tabel2[[#This Row],[AW 1]]*10+Tabel2[[#This Row],[BONUS 1]]</f>
        <v>0</v>
      </c>
      <c r="U62">
        <v>1</v>
      </c>
      <c r="Y62" s="153">
        <f>SUM(Tabel2[[#This Row],[V 2]]*10+Tabel2[[#This Row],[GT 2]])/Tabel2[[#This Row],[AW 2]]*10+Tabel2[[#This Row],[BONUS 2]]</f>
        <v>0</v>
      </c>
      <c r="AA62">
        <v>1</v>
      </c>
      <c r="AE62" s="153">
        <f>SUM(Tabel2[[#This Row],[V 3]]*10+Tabel2[[#This Row],[GT 3]])/Tabel2[[#This Row],[AW 3]]*10+Tabel2[[#This Row],[BONUS 3]]</f>
        <v>0</v>
      </c>
      <c r="AG62">
        <v>1</v>
      </c>
      <c r="AK62" s="153">
        <f>SUM(Tabel2[[#This Row],[V 4]]*10+Tabel2[[#This Row],[GT 4]])/Tabel2[[#This Row],[AW 4]]*10+Tabel2[[#This Row],[BONUS 4]]</f>
        <v>0</v>
      </c>
      <c r="AM62">
        <v>1</v>
      </c>
      <c r="AQ62" s="153">
        <f>SUM(Tabel2[[#This Row],[V 5]]*10+Tabel2[[#This Row],[GT 5]])/Tabel2[[#This Row],[AW 5]]*10+Tabel2[[#This Row],[BONUS 5]]</f>
        <v>0</v>
      </c>
      <c r="AS62">
        <v>1</v>
      </c>
      <c r="AW62" s="153">
        <f>SUM(Tabel2[[#This Row],[V 6]]*10+Tabel2[[#This Row],[GT 6]])/Tabel2[[#This Row],[AW 6]]*10+Tabel2[[#This Row],[BONUS 6]]</f>
        <v>0</v>
      </c>
      <c r="AY62">
        <v>1</v>
      </c>
      <c r="BC62" s="153">
        <f>SUM(Tabel2[[#This Row],[V 7]]*10+Tabel2[[#This Row],[GT 7]])/Tabel2[[#This Row],[AW 7]]*10+Tabel2[[#This Row],[BONUS 7]]</f>
        <v>0</v>
      </c>
      <c r="BE62">
        <v>1</v>
      </c>
      <c r="BI62" s="153">
        <f>SUM(Tabel2[[#This Row],[V 8]]*10+Tabel2[[#This Row],[GT 8]])/Tabel2[[#This Row],[AW 8]]*10+Tabel2[[#This Row],[BONUS 8]]</f>
        <v>0</v>
      </c>
      <c r="BK62">
        <v>1</v>
      </c>
      <c r="BO62" s="153">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22">
        <f>Tabel2[[#This Row],[Diploma]]-Tabel2[[#This Row],[Uitgeschreven]]</f>
        <v>0</v>
      </c>
      <c r="BY62" s="155" t="str">
        <f t="shared" si="7"/>
        <v>geen actie</v>
      </c>
      <c r="CA62" s="150">
        <f>Tabel2[[#This Row],[pnt t/m 2021/22]]</f>
        <v>48.571428571428569</v>
      </c>
      <c r="CB62" s="150">
        <f>Tabel2[[#This Row],[pnt 2022/2023]]</f>
        <v>0</v>
      </c>
      <c r="CC62" s="150">
        <f t="shared" si="6"/>
        <v>48.571428571428569</v>
      </c>
      <c r="CD62" s="150">
        <f>IF(Tabel2[[#This Row],[LPR 1]]&gt;0,1,0)</f>
        <v>0</v>
      </c>
      <c r="CE62" s="150">
        <f>IF(Tabel2[[#This Row],[LPR 2]]&gt;0,1,0)</f>
        <v>0</v>
      </c>
      <c r="CF62" s="150">
        <f>IF(Tabel2[[#This Row],[LPR 3]]&gt;0,1,0)</f>
        <v>0</v>
      </c>
      <c r="CG62" s="150">
        <f>IF(Tabel2[[#This Row],[LPR 4]]&gt;0,1,0)</f>
        <v>0</v>
      </c>
      <c r="CH62" s="150">
        <f>IF(Tabel2[[#This Row],[LPR 5]]&gt;0,1,0)</f>
        <v>0</v>
      </c>
      <c r="CI62" s="150">
        <f>IF(Tabel2[[#This Row],[LPR 6]]&gt;0,1,0)</f>
        <v>0</v>
      </c>
      <c r="CJ62" s="150">
        <f>IF(Tabel2[[#This Row],[LPR 7]]&gt;0,1,0)</f>
        <v>0</v>
      </c>
      <c r="CK62" s="150">
        <f>IF(Tabel2[[#This Row],[LPR 8]]&gt;0,1,0)</f>
        <v>0</v>
      </c>
      <c r="CL62" s="150">
        <f>IF(Tabel2[[#This Row],[LPR 9]]&gt;0,1,0)</f>
        <v>0</v>
      </c>
      <c r="CM62" s="150">
        <f>IF(Tabel2[[#This Row],[LPR 10]]&gt;0,1,0)</f>
        <v>0</v>
      </c>
      <c r="CN62" s="150">
        <f>SUM(Tabel7[[#This Row],[sep]:[jun]])</f>
        <v>0</v>
      </c>
      <c r="CO62" s="22" t="str">
        <f t="shared" si="1"/>
        <v/>
      </c>
      <c r="CP62" s="22" t="str">
        <f t="shared" si="2"/>
        <v/>
      </c>
      <c r="CQ62" s="22" t="str">
        <f t="shared" si="3"/>
        <v/>
      </c>
      <c r="CR62" s="22" t="str">
        <f t="shared" si="4"/>
        <v/>
      </c>
      <c r="CS62" s="22" t="str">
        <f t="shared" si="5"/>
        <v/>
      </c>
    </row>
    <row r="63" spans="1:97" x14ac:dyDescent="0.3">
      <c r="A63" s="22" t="s">
        <v>153</v>
      </c>
      <c r="B63" s="22" t="s">
        <v>149</v>
      </c>
      <c r="D63" s="22" t="s">
        <v>150</v>
      </c>
      <c r="E63" t="s">
        <v>243</v>
      </c>
      <c r="F63" s="22">
        <v>119768</v>
      </c>
      <c r="G63" s="25" t="s">
        <v>162</v>
      </c>
      <c r="H63" s="142">
        <f>Tabel2[[#This Row],[pnt t/m 2021/22]]+Tabel2[[#This Row],[pnt 2022/2023]]</f>
        <v>1007.4722222222222</v>
      </c>
      <c r="I63">
        <v>2013</v>
      </c>
      <c r="J63">
        <v>2022</v>
      </c>
      <c r="K63" s="24">
        <f>Tabel2[[#This Row],[ijkdatum]]-Tabel2[[#This Row],[Geboren]]</f>
        <v>9</v>
      </c>
      <c r="L63" s="26">
        <f>Tabel2[[#This Row],[TTL 1]]+Tabel2[[#This Row],[TTL 2]]+Tabel2[[#This Row],[TTL 3]]+Tabel2[[#This Row],[TTL 4]]+Tabel2[[#This Row],[TTL 5]]+Tabel2[[#This Row],[TTL 6]]+Tabel2[[#This Row],[TTL 7]]+Tabel2[[#This Row],[TTL 8]]+Tabel2[[#This Row],[TTL 9]]+Tabel2[[#This Row],[TTL 10]]</f>
        <v>244</v>
      </c>
      <c r="M63" s="153">
        <v>763.47222222222217</v>
      </c>
      <c r="N63">
        <v>6</v>
      </c>
      <c r="O63">
        <v>7</v>
      </c>
      <c r="P63">
        <v>1</v>
      </c>
      <c r="Q63">
        <v>18</v>
      </c>
      <c r="R63">
        <v>100</v>
      </c>
      <c r="S63" s="153">
        <f>SUM(Tabel2[[#This Row],[V 1]]*10+Tabel2[[#This Row],[GT 1]])/Tabel2[[#This Row],[AW 1]]*10+Tabel2[[#This Row],[BONUS 1]]</f>
        <v>140</v>
      </c>
      <c r="U63">
        <v>1</v>
      </c>
      <c r="Y63" s="23">
        <f>SUM(Tabel2[[#This Row],[V 2]]*10+Tabel2[[#This Row],[GT 2]])/Tabel2[[#This Row],[AW 2]]*10+Tabel2[[#This Row],[BONUS 2]]</f>
        <v>0</v>
      </c>
      <c r="Z63">
        <v>7</v>
      </c>
      <c r="AA63">
        <v>5</v>
      </c>
      <c r="AB63">
        <v>3</v>
      </c>
      <c r="AC63">
        <v>22</v>
      </c>
      <c r="AE63" s="23">
        <f>SUM(Tabel2[[#This Row],[V 3]]*10+Tabel2[[#This Row],[GT 3]])/Tabel2[[#This Row],[AW 3]]*10+Tabel2[[#This Row],[BONUS 3]]</f>
        <v>104</v>
      </c>
      <c r="AG63">
        <v>1</v>
      </c>
      <c r="AK63" s="23">
        <f>SUM(Tabel2[[#This Row],[V 4]]*10+Tabel2[[#This Row],[GT 4]])/Tabel2[[#This Row],[AW 4]]*10+Tabel2[[#This Row],[BONUS 4]]</f>
        <v>0</v>
      </c>
      <c r="AM63">
        <v>1</v>
      </c>
      <c r="AQ63" s="23">
        <f>SUM(Tabel2[[#This Row],[V 5]]*10+Tabel2[[#This Row],[GT 5]])/Tabel2[[#This Row],[AW 5]]*10+Tabel2[[#This Row],[BONUS 5]]</f>
        <v>0</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63" s="22">
        <v>750</v>
      </c>
      <c r="BX63" s="22">
        <f>Tabel2[[#This Row],[Diploma]]-Tabel2[[#This Row],[Uitgeschreven]]</f>
        <v>250</v>
      </c>
      <c r="BY63" s="155" t="str">
        <f t="shared" si="7"/>
        <v>diploma uitschrijven: 1000 punten</v>
      </c>
      <c r="CA63" s="150">
        <f>Tabel2[[#This Row],[pnt t/m 2021/22]]</f>
        <v>763.47222222222217</v>
      </c>
      <c r="CB63" s="150">
        <f>Tabel2[[#This Row],[pnt 2022/2023]]</f>
        <v>244</v>
      </c>
      <c r="CC63" s="150">
        <f t="shared" si="6"/>
        <v>1007.4722222222222</v>
      </c>
      <c r="CD63" s="150">
        <f>IF(Tabel2[[#This Row],[LPR 1]]&gt;0,1,0)</f>
        <v>1</v>
      </c>
      <c r="CE63" s="150">
        <f>IF(Tabel2[[#This Row],[LPR 2]]&gt;0,1,0)</f>
        <v>0</v>
      </c>
      <c r="CF63" s="150">
        <f>IF(Tabel2[[#This Row],[LPR 3]]&gt;0,1,0)</f>
        <v>1</v>
      </c>
      <c r="CG63" s="150">
        <f>IF(Tabel2[[#This Row],[LPR 4]]&gt;0,1,0)</f>
        <v>0</v>
      </c>
      <c r="CH63" s="150">
        <f>IF(Tabel2[[#This Row],[LPR 5]]&gt;0,1,0)</f>
        <v>0</v>
      </c>
      <c r="CI63" s="150">
        <f>IF(Tabel2[[#This Row],[LPR 6]]&gt;0,1,0)</f>
        <v>0</v>
      </c>
      <c r="CJ63" s="150">
        <f>IF(Tabel2[[#This Row],[LPR 7]]&gt;0,1,0)</f>
        <v>0</v>
      </c>
      <c r="CK63" s="150">
        <f>IF(Tabel2[[#This Row],[LPR 8]]&gt;0,1,0)</f>
        <v>0</v>
      </c>
      <c r="CL63" s="150">
        <f>IF(Tabel2[[#This Row],[LPR 9]]&gt;0,1,0)</f>
        <v>0</v>
      </c>
      <c r="CM63" s="150">
        <f>IF(Tabel2[[#This Row],[LPR 10]]&gt;0,1,0)</f>
        <v>0</v>
      </c>
      <c r="CN63" s="150">
        <f>SUM(Tabel7[[#This Row],[sep]:[jun]])</f>
        <v>2</v>
      </c>
      <c r="CO63" s="22" t="str">
        <f t="shared" si="1"/>
        <v>x</v>
      </c>
      <c r="CP63" s="22" t="str">
        <f t="shared" si="2"/>
        <v/>
      </c>
      <c r="CQ63" s="22" t="str">
        <f t="shared" si="3"/>
        <v/>
      </c>
      <c r="CR63" s="22" t="str">
        <f t="shared" si="4"/>
        <v/>
      </c>
      <c r="CS63" s="22" t="str">
        <f t="shared" si="5"/>
        <v/>
      </c>
    </row>
    <row r="64" spans="1:97" x14ac:dyDescent="0.3">
      <c r="A64" s="22" t="s">
        <v>148</v>
      </c>
      <c r="B64" s="22" t="s">
        <v>149</v>
      </c>
      <c r="D64" s="22" t="s">
        <v>160</v>
      </c>
      <c r="E64" t="s">
        <v>244</v>
      </c>
      <c r="F64" s="22">
        <v>120611</v>
      </c>
      <c r="G64" s="25" t="s">
        <v>169</v>
      </c>
      <c r="H64" s="142">
        <f>Tabel2[[#This Row],[pnt t/m 2021/22]]+Tabel2[[#This Row],[pnt 2022/2023]]</f>
        <v>149</v>
      </c>
      <c r="I64">
        <v>2009</v>
      </c>
      <c r="J64">
        <v>2023</v>
      </c>
      <c r="K64" s="24">
        <f>Tabel2[[#This Row],[ijkdatum]]-Tabel2[[#This Row],[Geboren]]</f>
        <v>14</v>
      </c>
      <c r="L64" s="26">
        <f>Tabel2[[#This Row],[TTL 1]]+Tabel2[[#This Row],[TTL 2]]+Tabel2[[#This Row],[TTL 3]]+Tabel2[[#This Row],[TTL 4]]+Tabel2[[#This Row],[TTL 5]]+Tabel2[[#This Row],[TTL 6]]+Tabel2[[#This Row],[TTL 7]]+Tabel2[[#This Row],[TTL 8]]+Tabel2[[#This Row],[TTL 9]]+Tabel2[[#This Row],[TTL 10]]</f>
        <v>149</v>
      </c>
      <c r="M64" s="141"/>
      <c r="N64">
        <v>3</v>
      </c>
      <c r="O64">
        <v>10</v>
      </c>
      <c r="P64">
        <v>10</v>
      </c>
      <c r="Q64">
        <v>49</v>
      </c>
      <c r="S64" s="23">
        <f>SUM(Tabel2[[#This Row],[V 1]]*10+Tabel2[[#This Row],[GT 1]])/Tabel2[[#This Row],[AW 1]]*10+Tabel2[[#This Row],[BONUS 1]]</f>
        <v>149</v>
      </c>
      <c r="U64">
        <v>1</v>
      </c>
      <c r="Y64" s="23">
        <f>SUM(Tabel2[[#This Row],[V 2]]*10+Tabel2[[#This Row],[GT 2]])/Tabel2[[#This Row],[AW 2]]*10+Tabel2[[#This Row],[BONUS 2]]</f>
        <v>0</v>
      </c>
      <c r="AA64">
        <v>1</v>
      </c>
      <c r="AE64" s="23">
        <f>SUM(Tabel2[[#This Row],[V 3]]*10+Tabel2[[#This Row],[GT 3]])/Tabel2[[#This Row],[AW 3]]*10+Tabel2[[#This Row],[BONUS 3]]</f>
        <v>0</v>
      </c>
      <c r="AG64">
        <v>1</v>
      </c>
      <c r="AK64" s="23">
        <f>SUM(Tabel2[[#This Row],[V 4]]*10+Tabel2[[#This Row],[GT 4]])/Tabel2[[#This Row],[AW 4]]*10+Tabel2[[#This Row],[BONUS 4]]</f>
        <v>0</v>
      </c>
      <c r="AM64">
        <v>1</v>
      </c>
      <c r="AQ64" s="23">
        <f>SUM(Tabel2[[#This Row],[V 5]]*10+Tabel2[[#This Row],[GT 5]])/Tabel2[[#This Row],[AW 5]]*10+Tabel2[[#This Row],[BONUS 5]]</f>
        <v>0</v>
      </c>
      <c r="AS64">
        <v>1</v>
      </c>
      <c r="AW64" s="23">
        <f>SUM(Tabel2[[#This Row],[V 6]]*10+Tabel2[[#This Row],[GT 6]])/Tabel2[[#This Row],[AW 6]]*10+Tabel2[[#This Row],[BONUS 6]]</f>
        <v>0</v>
      </c>
      <c r="AY64">
        <v>1</v>
      </c>
      <c r="BC64" s="23">
        <f>SUM(Tabel2[[#This Row],[V 7]]*10+Tabel2[[#This Row],[GT 7]])/Tabel2[[#This Row],[AW 7]]*10+Tabel2[[#This Row],[BONUS 7]]</f>
        <v>0</v>
      </c>
      <c r="BE64">
        <v>1</v>
      </c>
      <c r="BI64" s="23">
        <f>SUM(Tabel2[[#This Row],[V 8]]*10+Tabel2[[#This Row],[GT 8]])/Tabel2[[#This Row],[AW 8]]*10+Tabel2[[#This Row],[BONUS 8]]</f>
        <v>0</v>
      </c>
      <c r="BK64">
        <v>1</v>
      </c>
      <c r="BO64" s="23">
        <f>SUM(Tabel2[[#This Row],[V 9]]*10+Tabel2[[#This Row],[GT 9]])/Tabel2[[#This Row],[AW 9]]*10+Tabel2[[#This Row],[BONUS 9]]</f>
        <v>0</v>
      </c>
      <c r="BQ64">
        <v>1</v>
      </c>
      <c r="BU64" s="23">
        <f>SUM(Tabel2[[#This Row],[V 10]]*10+Tabel2[[#This Row],[GT 10]])/Tabel2[[#This Row],[AW 10]]*10+Tabel2[[#This Row],[BONUS 10]]</f>
        <v>0</v>
      </c>
      <c r="BV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4" s="22">
        <v>0</v>
      </c>
      <c r="BX64" s="30">
        <f>Tabel2[[#This Row],[Diploma]]-Tabel2[[#This Row],[Uitgeschreven]]</f>
        <v>0</v>
      </c>
      <c r="BY64" s="2" t="str">
        <f t="shared" si="7"/>
        <v>geen actie</v>
      </c>
      <c r="CA64" s="150">
        <f>Tabel2[[#This Row],[pnt t/m 2021/22]]</f>
        <v>0</v>
      </c>
      <c r="CB64" s="150">
        <f>Tabel2[[#This Row],[pnt 2022/2023]]</f>
        <v>149</v>
      </c>
      <c r="CC64" s="150">
        <f t="shared" si="6"/>
        <v>149</v>
      </c>
      <c r="CD64" s="150">
        <f>IF(Tabel2[[#This Row],[LPR 1]]&gt;0,1,0)</f>
        <v>1</v>
      </c>
      <c r="CE64" s="150">
        <f>IF(Tabel2[[#This Row],[LPR 2]]&gt;0,1,0)</f>
        <v>0</v>
      </c>
      <c r="CF64" s="150">
        <f>IF(Tabel2[[#This Row],[LPR 3]]&gt;0,1,0)</f>
        <v>0</v>
      </c>
      <c r="CG64" s="150">
        <f>IF(Tabel2[[#This Row],[LPR 4]]&gt;0,1,0)</f>
        <v>0</v>
      </c>
      <c r="CH64" s="150">
        <f>IF(Tabel2[[#This Row],[LPR 5]]&gt;0,1,0)</f>
        <v>0</v>
      </c>
      <c r="CI64" s="150">
        <f>IF(Tabel2[[#This Row],[LPR 6]]&gt;0,1,0)</f>
        <v>0</v>
      </c>
      <c r="CJ64" s="150">
        <f>IF(Tabel2[[#This Row],[LPR 7]]&gt;0,1,0)</f>
        <v>0</v>
      </c>
      <c r="CK64" s="150">
        <f>IF(Tabel2[[#This Row],[LPR 8]]&gt;0,1,0)</f>
        <v>0</v>
      </c>
      <c r="CL64" s="150">
        <f>IF(Tabel2[[#This Row],[LPR 9]]&gt;0,1,0)</f>
        <v>0</v>
      </c>
      <c r="CM64" s="150">
        <f>IF(Tabel2[[#This Row],[LPR 10]]&gt;0,1,0)</f>
        <v>0</v>
      </c>
      <c r="CN64" s="150">
        <f>SUM(Tabel7[[#This Row],[sep]:[jun]])</f>
        <v>1</v>
      </c>
      <c r="CO64" s="22" t="str">
        <f t="shared" si="1"/>
        <v/>
      </c>
      <c r="CP64" s="22" t="str">
        <f t="shared" si="2"/>
        <v/>
      </c>
      <c r="CQ64" s="22" t="str">
        <f t="shared" si="3"/>
        <v/>
      </c>
      <c r="CR64" s="22" t="str">
        <f t="shared" si="4"/>
        <v/>
      </c>
      <c r="CS64" s="22" t="str">
        <f t="shared" si="5"/>
        <v/>
      </c>
    </row>
    <row r="65" spans="1:97" x14ac:dyDescent="0.3">
      <c r="A65" s="22" t="s">
        <v>148</v>
      </c>
      <c r="B65" s="22" t="s">
        <v>149</v>
      </c>
      <c r="D65" s="22" t="s">
        <v>163</v>
      </c>
      <c r="E65" t="s">
        <v>245</v>
      </c>
      <c r="F65" s="22">
        <v>116663</v>
      </c>
      <c r="G65" s="25" t="s">
        <v>224</v>
      </c>
      <c r="H65" s="142">
        <f>Tabel2[[#This Row],[pnt t/m 2021/22]]+Tabel2[[#This Row],[pnt 2022/2023]]</f>
        <v>396.7460317460318</v>
      </c>
      <c r="I65">
        <v>2009</v>
      </c>
      <c r="J65">
        <v>2022</v>
      </c>
      <c r="K65" s="24">
        <f>Tabel2[[#This Row],[ijkdatum]]-Tabel2[[#This Row],[Geboren]]</f>
        <v>13</v>
      </c>
      <c r="L65" s="26">
        <f>Tabel2[[#This Row],[TTL 1]]+Tabel2[[#This Row],[TTL 2]]+Tabel2[[#This Row],[TTL 3]]+Tabel2[[#This Row],[TTL 4]]+Tabel2[[#This Row],[TTL 5]]+Tabel2[[#This Row],[TTL 6]]+Tabel2[[#This Row],[TTL 7]]+Tabel2[[#This Row],[TTL 8]]+Tabel2[[#This Row],[TTL 9]]+Tabel2[[#This Row],[TTL 10]]</f>
        <v>0</v>
      </c>
      <c r="M65" s="141">
        <v>396.7460317460318</v>
      </c>
      <c r="O65">
        <v>1</v>
      </c>
      <c r="S65" s="23">
        <f>SUM(Tabel2[[#This Row],[V 1]]*10+Tabel2[[#This Row],[GT 1]])/Tabel2[[#This Row],[AW 1]]*10+Tabel2[[#This Row],[BONUS 1]]</f>
        <v>0</v>
      </c>
      <c r="U65">
        <v>1</v>
      </c>
      <c r="Y65" s="23">
        <f>SUM(Tabel2[[#This Row],[V 2]]*10+Tabel2[[#This Row],[GT 2]])/Tabel2[[#This Row],[AW 2]]*10+Tabel2[[#This Row],[BONUS 2]]</f>
        <v>0</v>
      </c>
      <c r="AA65">
        <v>1</v>
      </c>
      <c r="AE65" s="23">
        <f>SUM(Tabel2[[#This Row],[V 3]]*10+Tabel2[[#This Row],[GT 3]])/Tabel2[[#This Row],[AW 3]]*10+Tabel2[[#This Row],[BONUS 3]]</f>
        <v>0</v>
      </c>
      <c r="AG65">
        <v>1</v>
      </c>
      <c r="AK65" s="23">
        <f>SUM(Tabel2[[#This Row],[V 4]]*10+Tabel2[[#This Row],[GT 4]])/Tabel2[[#This Row],[AW 4]]*10+Tabel2[[#This Row],[BONUS 4]]</f>
        <v>0</v>
      </c>
      <c r="AM65">
        <v>1</v>
      </c>
      <c r="AQ65" s="23">
        <f>SUM(Tabel2[[#This Row],[V 5]]*10+Tabel2[[#This Row],[GT 5]])/Tabel2[[#This Row],[AW 5]]*10+Tabel2[[#This Row],[BONUS 5]]</f>
        <v>0</v>
      </c>
      <c r="AS65">
        <v>1</v>
      </c>
      <c r="AW65" s="23">
        <f>SUM(Tabel2[[#This Row],[V 6]]*10+Tabel2[[#This Row],[GT 6]])/Tabel2[[#This Row],[AW 6]]*10+Tabel2[[#This Row],[BONUS 6]]</f>
        <v>0</v>
      </c>
      <c r="AY65">
        <v>1</v>
      </c>
      <c r="BC65" s="23">
        <f>SUM(Tabel2[[#This Row],[V 7]]*10+Tabel2[[#This Row],[GT 7]])/Tabel2[[#This Row],[AW 7]]*10+Tabel2[[#This Row],[BONUS 7]]</f>
        <v>0</v>
      </c>
      <c r="BE65">
        <v>1</v>
      </c>
      <c r="BI65" s="23">
        <f>SUM(Tabel2[[#This Row],[V 8]]*10+Tabel2[[#This Row],[GT 8]])/Tabel2[[#This Row],[AW 8]]*10+Tabel2[[#This Row],[BONUS 8]]</f>
        <v>0</v>
      </c>
      <c r="BK65">
        <v>1</v>
      </c>
      <c r="BO65" s="23">
        <f>SUM(Tabel2[[#This Row],[V 9]]*10+Tabel2[[#This Row],[GT 9]])/Tabel2[[#This Row],[AW 9]]*10+Tabel2[[#This Row],[BONUS 9]]</f>
        <v>0</v>
      </c>
      <c r="BQ65">
        <v>1</v>
      </c>
      <c r="BU65" s="23">
        <f>SUM(Tabel2[[#This Row],[V 10]]*10+Tabel2[[#This Row],[GT 10]])/Tabel2[[#This Row],[AW 10]]*10+Tabel2[[#This Row],[BONUS 10]]</f>
        <v>0</v>
      </c>
      <c r="BV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5" s="22">
        <v>250</v>
      </c>
      <c r="BX65" s="30">
        <f>Tabel2[[#This Row],[Diploma]]-Tabel2[[#This Row],[Uitgeschreven]]</f>
        <v>0</v>
      </c>
      <c r="BY65" s="2" t="str">
        <f t="shared" si="7"/>
        <v>geen actie</v>
      </c>
      <c r="CA65" s="150">
        <f>Tabel2[[#This Row],[pnt t/m 2021/22]]</f>
        <v>396.7460317460318</v>
      </c>
      <c r="CB65" s="150">
        <f>Tabel2[[#This Row],[pnt 2022/2023]]</f>
        <v>0</v>
      </c>
      <c r="CC65" s="150">
        <f t="shared" si="6"/>
        <v>396.7460317460318</v>
      </c>
      <c r="CD65" s="150">
        <f>IF(Tabel2[[#This Row],[LPR 1]]&gt;0,1,0)</f>
        <v>0</v>
      </c>
      <c r="CE65" s="150">
        <f>IF(Tabel2[[#This Row],[LPR 2]]&gt;0,1,0)</f>
        <v>0</v>
      </c>
      <c r="CF65" s="150">
        <f>IF(Tabel2[[#This Row],[LPR 3]]&gt;0,1,0)</f>
        <v>0</v>
      </c>
      <c r="CG65" s="150">
        <f>IF(Tabel2[[#This Row],[LPR 4]]&gt;0,1,0)</f>
        <v>0</v>
      </c>
      <c r="CH65" s="150">
        <f>IF(Tabel2[[#This Row],[LPR 5]]&gt;0,1,0)</f>
        <v>0</v>
      </c>
      <c r="CI65" s="150">
        <f>IF(Tabel2[[#This Row],[LPR 6]]&gt;0,1,0)</f>
        <v>0</v>
      </c>
      <c r="CJ65" s="150">
        <f>IF(Tabel2[[#This Row],[LPR 7]]&gt;0,1,0)</f>
        <v>0</v>
      </c>
      <c r="CK65" s="150">
        <f>IF(Tabel2[[#This Row],[LPR 8]]&gt;0,1,0)</f>
        <v>0</v>
      </c>
      <c r="CL65" s="150">
        <f>IF(Tabel2[[#This Row],[LPR 9]]&gt;0,1,0)</f>
        <v>0</v>
      </c>
      <c r="CM65" s="150">
        <f>IF(Tabel2[[#This Row],[LPR 10]]&gt;0,1,0)</f>
        <v>0</v>
      </c>
      <c r="CN65" s="150">
        <f>SUM(Tabel7[[#This Row],[sep]:[jun]])</f>
        <v>0</v>
      </c>
      <c r="CO65" s="22" t="str">
        <f t="shared" si="1"/>
        <v/>
      </c>
      <c r="CP65" s="22" t="str">
        <f t="shared" si="2"/>
        <v/>
      </c>
      <c r="CQ65" s="22" t="str">
        <f t="shared" si="3"/>
        <v/>
      </c>
      <c r="CR65" s="22" t="str">
        <f t="shared" si="4"/>
        <v/>
      </c>
      <c r="CS65" s="22" t="str">
        <f t="shared" si="5"/>
        <v/>
      </c>
    </row>
    <row r="66" spans="1:97" x14ac:dyDescent="0.3">
      <c r="A66" s="22" t="s">
        <v>156</v>
      </c>
      <c r="B66" s="22" t="s">
        <v>149</v>
      </c>
      <c r="D66" s="22" t="s">
        <v>163</v>
      </c>
      <c r="E66" s="162" t="s">
        <v>246</v>
      </c>
      <c r="F66" s="22">
        <v>118094</v>
      </c>
      <c r="G66" s="25" t="s">
        <v>181</v>
      </c>
      <c r="H66" s="23">
        <f>Tabel2[[#This Row],[pnt t/m 2021/22]]+Tabel2[[#This Row],[pnt 2022/2023]]</f>
        <v>87.5</v>
      </c>
      <c r="I66">
        <v>2008</v>
      </c>
      <c r="J66">
        <v>2022</v>
      </c>
      <c r="K66" s="24">
        <f>Tabel2[[#This Row],[ijkdatum]]-Tabel2[[#This Row],[Geboren]]</f>
        <v>14</v>
      </c>
      <c r="L66" s="26">
        <f>Tabel2[[#This Row],[TTL 1]]+Tabel2[[#This Row],[TTL 2]]+Tabel2[[#This Row],[TTL 3]]+Tabel2[[#This Row],[TTL 4]]+Tabel2[[#This Row],[TTL 5]]+Tabel2[[#This Row],[TTL 6]]+Tabel2[[#This Row],[TTL 7]]+Tabel2[[#This Row],[TTL 8]]+Tabel2[[#This Row],[TTL 9]]+Tabel2[[#This Row],[TTL 10]]</f>
        <v>0</v>
      </c>
      <c r="M66" s="153">
        <v>87.5</v>
      </c>
      <c r="O66">
        <v>1</v>
      </c>
      <c r="S66" s="153">
        <f>SUM(Tabel2[[#This Row],[V 1]]*10+Tabel2[[#This Row],[GT 1]])/Tabel2[[#This Row],[AW 1]]*10+Tabel2[[#This Row],[BONUS 1]]</f>
        <v>0</v>
      </c>
      <c r="U66">
        <v>1</v>
      </c>
      <c r="Y66" s="153">
        <f>SUM(Tabel2[[#This Row],[V 2]]*10+Tabel2[[#This Row],[GT 2]])/Tabel2[[#This Row],[AW 2]]*10+Tabel2[[#This Row],[BONUS 2]]</f>
        <v>0</v>
      </c>
      <c r="AA66">
        <v>1</v>
      </c>
      <c r="AE66" s="153">
        <f>SUM(Tabel2[[#This Row],[V 3]]*10+Tabel2[[#This Row],[GT 3]])/Tabel2[[#This Row],[AW 3]]*10+Tabel2[[#This Row],[BONUS 3]]</f>
        <v>0</v>
      </c>
      <c r="AG66">
        <v>1</v>
      </c>
      <c r="AK66" s="153">
        <f>SUM(Tabel2[[#This Row],[V 4]]*10+Tabel2[[#This Row],[GT 4]])/Tabel2[[#This Row],[AW 4]]*10+Tabel2[[#This Row],[BONUS 4]]</f>
        <v>0</v>
      </c>
      <c r="AM66">
        <v>1</v>
      </c>
      <c r="AQ66" s="153">
        <f>SUM(Tabel2[[#This Row],[V 5]]*10+Tabel2[[#This Row],[GT 5]])/Tabel2[[#This Row],[AW 5]]*10+Tabel2[[#This Row],[BONUS 5]]</f>
        <v>0</v>
      </c>
      <c r="AS66">
        <v>1</v>
      </c>
      <c r="AW66" s="153">
        <f>SUM(Tabel2[[#This Row],[V 6]]*10+Tabel2[[#This Row],[GT 6]])/Tabel2[[#This Row],[AW 6]]*10+Tabel2[[#This Row],[BONUS 6]]</f>
        <v>0</v>
      </c>
      <c r="AY66">
        <v>1</v>
      </c>
      <c r="BC66" s="153">
        <f>SUM(Tabel2[[#This Row],[V 7]]*10+Tabel2[[#This Row],[GT 7]])/Tabel2[[#This Row],[AW 7]]*10+Tabel2[[#This Row],[BONUS 7]]</f>
        <v>0</v>
      </c>
      <c r="BE66">
        <v>1</v>
      </c>
      <c r="BI66" s="153">
        <f>SUM(Tabel2[[#This Row],[V 8]]*10+Tabel2[[#This Row],[GT 8]])/Tabel2[[#This Row],[AW 8]]*10+Tabel2[[#This Row],[BONUS 8]]</f>
        <v>0</v>
      </c>
      <c r="BK66">
        <v>1</v>
      </c>
      <c r="BO66" s="153">
        <f>SUM(Tabel2[[#This Row],[V 9]]*10+Tabel2[[#This Row],[GT 9]])/Tabel2[[#This Row],[AW 9]]*10+Tabel2[[#This Row],[BONUS 9]]</f>
        <v>0</v>
      </c>
      <c r="BQ66">
        <v>1</v>
      </c>
      <c r="BU66" s="23">
        <f>SUM(Tabel2[[#This Row],[V 10]]*10+Tabel2[[#This Row],[GT 10]])/Tabel2[[#This Row],[AW 10]]*10+Tabel2[[#This Row],[BONUS 10]]</f>
        <v>0</v>
      </c>
      <c r="BV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6" s="22">
        <v>0</v>
      </c>
      <c r="BX66" s="22">
        <f>Tabel2[[#This Row],[Diploma]]-Tabel2[[#This Row],[Uitgeschreven]]</f>
        <v>0</v>
      </c>
      <c r="BY66" s="155" t="str">
        <f t="shared" si="7"/>
        <v>geen actie</v>
      </c>
      <c r="CA66" s="150">
        <f>Tabel2[[#This Row],[pnt t/m 2021/22]]</f>
        <v>87.5</v>
      </c>
      <c r="CB66" s="150">
        <f>Tabel2[[#This Row],[pnt 2022/2023]]</f>
        <v>0</v>
      </c>
      <c r="CC66" s="150">
        <f t="shared" si="6"/>
        <v>87.5</v>
      </c>
      <c r="CD66" s="150">
        <f>IF(Tabel2[[#This Row],[LPR 1]]&gt;0,1,0)</f>
        <v>0</v>
      </c>
      <c r="CE66" s="150">
        <f>IF(Tabel2[[#This Row],[LPR 2]]&gt;0,1,0)</f>
        <v>0</v>
      </c>
      <c r="CF66" s="150">
        <f>IF(Tabel2[[#This Row],[LPR 3]]&gt;0,1,0)</f>
        <v>0</v>
      </c>
      <c r="CG66" s="150">
        <f>IF(Tabel2[[#This Row],[LPR 4]]&gt;0,1,0)</f>
        <v>0</v>
      </c>
      <c r="CH66" s="150">
        <f>IF(Tabel2[[#This Row],[LPR 5]]&gt;0,1,0)</f>
        <v>0</v>
      </c>
      <c r="CI66" s="150">
        <f>IF(Tabel2[[#This Row],[LPR 6]]&gt;0,1,0)</f>
        <v>0</v>
      </c>
      <c r="CJ66" s="150">
        <f>IF(Tabel2[[#This Row],[LPR 7]]&gt;0,1,0)</f>
        <v>0</v>
      </c>
      <c r="CK66" s="150">
        <f>IF(Tabel2[[#This Row],[LPR 8]]&gt;0,1,0)</f>
        <v>0</v>
      </c>
      <c r="CL66" s="150">
        <f>IF(Tabel2[[#This Row],[LPR 9]]&gt;0,1,0)</f>
        <v>0</v>
      </c>
      <c r="CM66" s="150">
        <f>IF(Tabel2[[#This Row],[LPR 10]]&gt;0,1,0)</f>
        <v>0</v>
      </c>
      <c r="CN66" s="150">
        <f>SUM(Tabel7[[#This Row],[sep]:[jun]])</f>
        <v>0</v>
      </c>
      <c r="CO66" s="22" t="str">
        <f t="shared" si="1"/>
        <v/>
      </c>
      <c r="CP66" s="22" t="str">
        <f t="shared" si="2"/>
        <v/>
      </c>
      <c r="CQ66" s="22" t="str">
        <f t="shared" si="3"/>
        <v/>
      </c>
      <c r="CR66" s="22" t="str">
        <f t="shared" si="4"/>
        <v/>
      </c>
      <c r="CS66" s="22" t="str">
        <f t="shared" si="5"/>
        <v/>
      </c>
    </row>
    <row r="67" spans="1:97" x14ac:dyDescent="0.3">
      <c r="A67" s="22" t="s">
        <v>156</v>
      </c>
      <c r="B67" s="22" t="s">
        <v>157</v>
      </c>
      <c r="D67" s="22" t="s">
        <v>163</v>
      </c>
      <c r="E67" t="s">
        <v>247</v>
      </c>
      <c r="F67" s="22">
        <v>120516</v>
      </c>
      <c r="G67" s="25" t="s">
        <v>201</v>
      </c>
      <c r="H67" s="23">
        <f>Tabel2[[#This Row],[pnt t/m 2021/22]]+Tabel2[[#This Row],[pnt 2022/2023]]</f>
        <v>21.25</v>
      </c>
      <c r="I67">
        <v>2007</v>
      </c>
      <c r="J67">
        <v>2022</v>
      </c>
      <c r="K67" s="24">
        <f>Tabel2[[#This Row],[ijkdatum]]-Tabel2[[#This Row],[Geboren]]</f>
        <v>15</v>
      </c>
      <c r="L67" s="26">
        <f>Tabel2[[#This Row],[TTL 1]]+Tabel2[[#This Row],[TTL 2]]+Tabel2[[#This Row],[TTL 3]]+Tabel2[[#This Row],[TTL 4]]+Tabel2[[#This Row],[TTL 5]]+Tabel2[[#This Row],[TTL 6]]+Tabel2[[#This Row],[TTL 7]]+Tabel2[[#This Row],[TTL 8]]+Tabel2[[#This Row],[TTL 9]]+Tabel2[[#This Row],[TTL 10]]</f>
        <v>0</v>
      </c>
      <c r="M67" s="153">
        <v>21.25</v>
      </c>
      <c r="O67">
        <v>1</v>
      </c>
      <c r="S67" s="153">
        <f>SUM(Tabel2[[#This Row],[V 1]]*10+Tabel2[[#This Row],[GT 1]])/Tabel2[[#This Row],[AW 1]]*10+Tabel2[[#This Row],[BONUS 1]]</f>
        <v>0</v>
      </c>
      <c r="U67">
        <v>1</v>
      </c>
      <c r="Y67" s="153">
        <f>SUM(Tabel2[[#This Row],[V 2]]*10+Tabel2[[#This Row],[GT 2]])/Tabel2[[#This Row],[AW 2]]*10+Tabel2[[#This Row],[BONUS 2]]</f>
        <v>0</v>
      </c>
      <c r="AA67">
        <v>1</v>
      </c>
      <c r="AE67" s="153">
        <f>SUM(Tabel2[[#This Row],[V 3]]*10+Tabel2[[#This Row],[GT 3]])/Tabel2[[#This Row],[AW 3]]*10+Tabel2[[#This Row],[BONUS 3]]</f>
        <v>0</v>
      </c>
      <c r="AG67">
        <v>1</v>
      </c>
      <c r="AK67" s="153">
        <f>SUM(Tabel2[[#This Row],[V 4]]*10+Tabel2[[#This Row],[GT 4]])/Tabel2[[#This Row],[AW 4]]*10+Tabel2[[#This Row],[BONUS 4]]</f>
        <v>0</v>
      </c>
      <c r="AM67">
        <v>1</v>
      </c>
      <c r="AQ67" s="153">
        <f>SUM(Tabel2[[#This Row],[V 5]]*10+Tabel2[[#This Row],[GT 5]])/Tabel2[[#This Row],[AW 5]]*10+Tabel2[[#This Row],[BONUS 5]]</f>
        <v>0</v>
      </c>
      <c r="AS67">
        <v>1</v>
      </c>
      <c r="AW67" s="153">
        <f>SUM(Tabel2[[#This Row],[V 6]]*10+Tabel2[[#This Row],[GT 6]])/Tabel2[[#This Row],[AW 6]]*10+Tabel2[[#This Row],[BONUS 6]]</f>
        <v>0</v>
      </c>
      <c r="AY67">
        <v>1</v>
      </c>
      <c r="BC67" s="153">
        <f>SUM(Tabel2[[#This Row],[V 7]]*10+Tabel2[[#This Row],[GT 7]])/Tabel2[[#This Row],[AW 7]]*10+Tabel2[[#This Row],[BONUS 7]]</f>
        <v>0</v>
      </c>
      <c r="BE67">
        <v>1</v>
      </c>
      <c r="BI67" s="153">
        <f>SUM(Tabel2[[#This Row],[V 8]]*10+Tabel2[[#This Row],[GT 8]])/Tabel2[[#This Row],[AW 8]]*10+Tabel2[[#This Row],[BONUS 8]]</f>
        <v>0</v>
      </c>
      <c r="BK67">
        <v>1</v>
      </c>
      <c r="BO67" s="153">
        <f>SUM(Tabel2[[#This Row],[V 9]]*10+Tabel2[[#This Row],[GT 9]])/Tabel2[[#This Row],[AW 9]]*10+Tabel2[[#This Row],[BONUS 9]]</f>
        <v>0</v>
      </c>
      <c r="BQ67">
        <v>1</v>
      </c>
      <c r="BU67" s="23">
        <f>SUM(Tabel2[[#This Row],[V 10]]*10+Tabel2[[#This Row],[GT 10]])/Tabel2[[#This Row],[AW 10]]*10+Tabel2[[#This Row],[BONUS 10]]</f>
        <v>0</v>
      </c>
      <c r="BV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7" s="22">
        <v>0</v>
      </c>
      <c r="BX67" s="22">
        <f>Tabel2[[#This Row],[Diploma]]-Tabel2[[#This Row],[Uitgeschreven]]</f>
        <v>0</v>
      </c>
      <c r="BY67" s="155" t="str">
        <f t="shared" si="7"/>
        <v>geen actie</v>
      </c>
      <c r="CA67" s="150">
        <f>Tabel2[[#This Row],[pnt t/m 2021/22]]</f>
        <v>21.25</v>
      </c>
      <c r="CB67" s="150">
        <f>Tabel2[[#This Row],[pnt 2022/2023]]</f>
        <v>0</v>
      </c>
      <c r="CC67" s="150">
        <f t="shared" si="6"/>
        <v>21.25</v>
      </c>
      <c r="CD67" s="150">
        <f>IF(Tabel2[[#This Row],[LPR 1]]&gt;0,1,0)</f>
        <v>0</v>
      </c>
      <c r="CE67" s="150">
        <f>IF(Tabel2[[#This Row],[LPR 2]]&gt;0,1,0)</f>
        <v>0</v>
      </c>
      <c r="CF67" s="150">
        <f>IF(Tabel2[[#This Row],[LPR 3]]&gt;0,1,0)</f>
        <v>0</v>
      </c>
      <c r="CG67" s="150">
        <f>IF(Tabel2[[#This Row],[LPR 4]]&gt;0,1,0)</f>
        <v>0</v>
      </c>
      <c r="CH67" s="150">
        <f>IF(Tabel2[[#This Row],[LPR 5]]&gt;0,1,0)</f>
        <v>0</v>
      </c>
      <c r="CI67" s="150">
        <f>IF(Tabel2[[#This Row],[LPR 6]]&gt;0,1,0)</f>
        <v>0</v>
      </c>
      <c r="CJ67" s="150">
        <f>IF(Tabel2[[#This Row],[LPR 7]]&gt;0,1,0)</f>
        <v>0</v>
      </c>
      <c r="CK67" s="150">
        <f>IF(Tabel2[[#This Row],[LPR 8]]&gt;0,1,0)</f>
        <v>0</v>
      </c>
      <c r="CL67" s="150">
        <f>IF(Tabel2[[#This Row],[LPR 9]]&gt;0,1,0)</f>
        <v>0</v>
      </c>
      <c r="CM67" s="150">
        <f>IF(Tabel2[[#This Row],[LPR 10]]&gt;0,1,0)</f>
        <v>0</v>
      </c>
      <c r="CN67" s="150">
        <f>SUM(Tabel7[[#This Row],[sep]:[jun]])</f>
        <v>0</v>
      </c>
      <c r="CO67" s="22" t="str">
        <f t="shared" si="1"/>
        <v/>
      </c>
      <c r="CP67" s="22" t="str">
        <f t="shared" si="2"/>
        <v/>
      </c>
      <c r="CQ67" s="22" t="str">
        <f t="shared" si="3"/>
        <v/>
      </c>
      <c r="CR67" s="22" t="str">
        <f t="shared" si="4"/>
        <v/>
      </c>
      <c r="CS67" s="22" t="str">
        <f t="shared" si="5"/>
        <v/>
      </c>
    </row>
    <row r="68" spans="1:97" x14ac:dyDescent="0.3">
      <c r="A68" s="22" t="s">
        <v>159</v>
      </c>
      <c r="B68" s="22" t="s">
        <v>149</v>
      </c>
      <c r="D68" s="22" t="s">
        <v>163</v>
      </c>
      <c r="E68" t="s">
        <v>248</v>
      </c>
      <c r="F68" s="22">
        <v>119577</v>
      </c>
      <c r="G68" s="25" t="s">
        <v>167</v>
      </c>
      <c r="H68" s="142">
        <f>Tabel2[[#This Row],[pnt t/m 2021/22]]+Tabel2[[#This Row],[pnt 2022/2023]]</f>
        <v>577.20779220779218</v>
      </c>
      <c r="I68">
        <v>2010</v>
      </c>
      <c r="J68">
        <v>2022</v>
      </c>
      <c r="K68" s="24">
        <f>Tabel2[[#This Row],[ijkdatum]]-Tabel2[[#This Row],[Geboren]]</f>
        <v>12</v>
      </c>
      <c r="L68" s="26">
        <f>Tabel2[[#This Row],[TTL 1]]+Tabel2[[#This Row],[TTL 2]]+Tabel2[[#This Row],[TTL 3]]+Tabel2[[#This Row],[TTL 4]]+Tabel2[[#This Row],[TTL 5]]+Tabel2[[#This Row],[TTL 6]]+Tabel2[[#This Row],[TTL 7]]+Tabel2[[#This Row],[TTL 8]]+Tabel2[[#This Row],[TTL 9]]+Tabel2[[#This Row],[TTL 10]]</f>
        <v>0</v>
      </c>
      <c r="M68" s="141">
        <v>577.20779220779218</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G68">
        <v>1</v>
      </c>
      <c r="AK68" s="23">
        <f>SUM(Tabel2[[#This Row],[V 4]]*10+Tabel2[[#This Row],[GT 4]])/Tabel2[[#This Row],[AW 4]]*10+Tabel2[[#This Row],[BONUS 4]]</f>
        <v>0</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8" s="22">
        <v>500</v>
      </c>
      <c r="BX68" s="30">
        <f>Tabel2[[#This Row],[Diploma]]-Tabel2[[#This Row],[Uitgeschreven]]</f>
        <v>0</v>
      </c>
      <c r="BY68" s="2" t="str">
        <f t="shared" si="7"/>
        <v>geen actie</v>
      </c>
      <c r="CA68" s="150">
        <f>Tabel2[[#This Row],[pnt t/m 2021/22]]</f>
        <v>577.20779220779218</v>
      </c>
      <c r="CB68" s="150">
        <f>Tabel2[[#This Row],[pnt 2022/2023]]</f>
        <v>0</v>
      </c>
      <c r="CC68" s="150">
        <f t="shared" si="6"/>
        <v>577.20779220779218</v>
      </c>
      <c r="CD68" s="150">
        <f>IF(Tabel2[[#This Row],[LPR 1]]&gt;0,1,0)</f>
        <v>0</v>
      </c>
      <c r="CE68" s="150">
        <f>IF(Tabel2[[#This Row],[LPR 2]]&gt;0,1,0)</f>
        <v>0</v>
      </c>
      <c r="CF68" s="150">
        <f>IF(Tabel2[[#This Row],[LPR 3]]&gt;0,1,0)</f>
        <v>0</v>
      </c>
      <c r="CG68" s="150">
        <f>IF(Tabel2[[#This Row],[LPR 4]]&gt;0,1,0)</f>
        <v>0</v>
      </c>
      <c r="CH68" s="150">
        <f>IF(Tabel2[[#This Row],[LPR 5]]&gt;0,1,0)</f>
        <v>0</v>
      </c>
      <c r="CI68" s="150">
        <f>IF(Tabel2[[#This Row],[LPR 6]]&gt;0,1,0)</f>
        <v>0</v>
      </c>
      <c r="CJ68" s="150">
        <f>IF(Tabel2[[#This Row],[LPR 7]]&gt;0,1,0)</f>
        <v>0</v>
      </c>
      <c r="CK68" s="150">
        <f>IF(Tabel2[[#This Row],[LPR 8]]&gt;0,1,0)</f>
        <v>0</v>
      </c>
      <c r="CL68" s="150">
        <f>IF(Tabel2[[#This Row],[LPR 9]]&gt;0,1,0)</f>
        <v>0</v>
      </c>
      <c r="CM68" s="150">
        <f>IF(Tabel2[[#This Row],[LPR 10]]&gt;0,1,0)</f>
        <v>0</v>
      </c>
      <c r="CN68" s="150">
        <f>SUM(Tabel7[[#This Row],[sep]:[jun]])</f>
        <v>0</v>
      </c>
      <c r="CO68" s="22" t="str">
        <f t="shared" si="1"/>
        <v/>
      </c>
      <c r="CP68" s="22" t="str">
        <f t="shared" si="2"/>
        <v/>
      </c>
      <c r="CQ68" s="22" t="str">
        <f t="shared" si="3"/>
        <v/>
      </c>
      <c r="CR68" s="22" t="str">
        <f t="shared" si="4"/>
        <v/>
      </c>
      <c r="CS68" s="22" t="str">
        <f t="shared" si="5"/>
        <v/>
      </c>
    </row>
    <row r="69" spans="1:97" x14ac:dyDescent="0.3">
      <c r="A69" s="22" t="s">
        <v>153</v>
      </c>
      <c r="B69" s="22" t="s">
        <v>149</v>
      </c>
      <c r="D69" s="22" t="s">
        <v>150</v>
      </c>
      <c r="E69" t="s">
        <v>249</v>
      </c>
      <c r="F69" s="22">
        <v>118713</v>
      </c>
      <c r="G69" s="25" t="s">
        <v>162</v>
      </c>
      <c r="H69" s="142">
        <f>Tabel2[[#This Row],[pnt t/m 2021/22]]+Tabel2[[#This Row],[pnt 2022/2023]]</f>
        <v>683.15811965811963</v>
      </c>
      <c r="I69">
        <v>2011</v>
      </c>
      <c r="J69">
        <v>2022</v>
      </c>
      <c r="K69" s="24">
        <f>Tabel2[[#This Row],[ijkdatum]]-Tabel2[[#This Row],[Geboren]]</f>
        <v>11</v>
      </c>
      <c r="L69" s="26">
        <f>Tabel2[[#This Row],[TTL 1]]+Tabel2[[#This Row],[TTL 2]]+Tabel2[[#This Row],[TTL 3]]+Tabel2[[#This Row],[TTL 4]]+Tabel2[[#This Row],[TTL 5]]+Tabel2[[#This Row],[TTL 6]]+Tabel2[[#This Row],[TTL 7]]+Tabel2[[#This Row],[TTL 8]]+Tabel2[[#This Row],[TTL 9]]+Tabel2[[#This Row],[TTL 10]]</f>
        <v>136.5</v>
      </c>
      <c r="M69" s="141">
        <v>546.65811965811963</v>
      </c>
      <c r="N69">
        <v>6</v>
      </c>
      <c r="O69">
        <v>8</v>
      </c>
      <c r="P69">
        <v>3</v>
      </c>
      <c r="Q69">
        <v>20</v>
      </c>
      <c r="S69" s="23">
        <f>SUM(Tabel2[[#This Row],[V 1]]*10+Tabel2[[#This Row],[GT 1]])/Tabel2[[#This Row],[AW 1]]*10+Tabel2[[#This Row],[BONUS 1]]</f>
        <v>62.5</v>
      </c>
      <c r="U69">
        <v>1</v>
      </c>
      <c r="Y69" s="23">
        <f>SUM(Tabel2[[#This Row],[V 2]]*10+Tabel2[[#This Row],[GT 2]])/Tabel2[[#This Row],[AW 2]]*10+Tabel2[[#This Row],[BONUS 2]]</f>
        <v>0</v>
      </c>
      <c r="Z69">
        <v>7</v>
      </c>
      <c r="AA69">
        <v>5</v>
      </c>
      <c r="AB69">
        <v>2</v>
      </c>
      <c r="AC69">
        <v>17</v>
      </c>
      <c r="AE69" s="23">
        <f>SUM(Tabel2[[#This Row],[V 3]]*10+Tabel2[[#This Row],[GT 3]])/Tabel2[[#This Row],[AW 3]]*10+Tabel2[[#This Row],[BONUS 3]]</f>
        <v>74</v>
      </c>
      <c r="AG69">
        <v>1</v>
      </c>
      <c r="AK69" s="23">
        <f>SUM(Tabel2[[#This Row],[V 4]]*10+Tabel2[[#This Row],[GT 4]])/Tabel2[[#This Row],[AW 4]]*10+Tabel2[[#This Row],[BONUS 4]]</f>
        <v>0</v>
      </c>
      <c r="AM69">
        <v>1</v>
      </c>
      <c r="AQ69" s="23">
        <f>SUM(Tabel2[[#This Row],[V 5]]*10+Tabel2[[#This Row],[GT 5]])/Tabel2[[#This Row],[AW 5]]*10+Tabel2[[#This Row],[BONUS 5]]</f>
        <v>0</v>
      </c>
      <c r="AS69">
        <v>1</v>
      </c>
      <c r="AW69" s="2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23">
        <f>SUM(Tabel2[[#This Row],[V 9]]*10+Tabel2[[#This Row],[GT 9]])/Tabel2[[#This Row],[AW 9]]*10+Tabel2[[#This Row],[BONUS 9]]</f>
        <v>0</v>
      </c>
      <c r="BQ69">
        <v>1</v>
      </c>
      <c r="BU69" s="23">
        <f>SUM(Tabel2[[#This Row],[V 10]]*10+Tabel2[[#This Row],[GT 10]])/Tabel2[[#This Row],[AW 10]]*10+Tabel2[[#This Row],[BONUS 10]]</f>
        <v>0</v>
      </c>
      <c r="BV6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9" s="22">
        <v>500</v>
      </c>
      <c r="BX69" s="30">
        <f>Tabel2[[#This Row],[Diploma]]-Tabel2[[#This Row],[Uitgeschreven]]</f>
        <v>0</v>
      </c>
      <c r="BY69" s="2" t="str">
        <f t="shared" ref="BY69:BY100" si="8">IF(BX69=0,"geen actie",CONCATENATE("diploma uitschrijven: ",BV69," punten"))</f>
        <v>geen actie</v>
      </c>
      <c r="CA69" s="150">
        <f>Tabel2[[#This Row],[pnt t/m 2021/22]]</f>
        <v>546.65811965811963</v>
      </c>
      <c r="CB69" s="150">
        <f>Tabel2[[#This Row],[pnt 2022/2023]]</f>
        <v>136.5</v>
      </c>
      <c r="CC69" s="150">
        <f t="shared" si="6"/>
        <v>683.15811965811963</v>
      </c>
      <c r="CD69" s="150">
        <f>IF(Tabel2[[#This Row],[LPR 1]]&gt;0,1,0)</f>
        <v>1</v>
      </c>
      <c r="CE69" s="150">
        <f>IF(Tabel2[[#This Row],[LPR 2]]&gt;0,1,0)</f>
        <v>0</v>
      </c>
      <c r="CF69" s="150">
        <f>IF(Tabel2[[#This Row],[LPR 3]]&gt;0,1,0)</f>
        <v>1</v>
      </c>
      <c r="CG69" s="150">
        <f>IF(Tabel2[[#This Row],[LPR 4]]&gt;0,1,0)</f>
        <v>0</v>
      </c>
      <c r="CH69" s="150">
        <f>IF(Tabel2[[#This Row],[LPR 5]]&gt;0,1,0)</f>
        <v>0</v>
      </c>
      <c r="CI69" s="150">
        <f>IF(Tabel2[[#This Row],[LPR 6]]&gt;0,1,0)</f>
        <v>0</v>
      </c>
      <c r="CJ69" s="150">
        <f>IF(Tabel2[[#This Row],[LPR 7]]&gt;0,1,0)</f>
        <v>0</v>
      </c>
      <c r="CK69" s="150">
        <f>IF(Tabel2[[#This Row],[LPR 8]]&gt;0,1,0)</f>
        <v>0</v>
      </c>
      <c r="CL69" s="150">
        <f>IF(Tabel2[[#This Row],[LPR 9]]&gt;0,1,0)</f>
        <v>0</v>
      </c>
      <c r="CM69" s="150">
        <f>IF(Tabel2[[#This Row],[LPR 10]]&gt;0,1,0)</f>
        <v>0</v>
      </c>
      <c r="CN69" s="150">
        <f>SUM(Tabel7[[#This Row],[sep]:[jun]])</f>
        <v>2</v>
      </c>
      <c r="CO69" s="22" t="str">
        <f t="shared" si="1"/>
        <v/>
      </c>
      <c r="CP69" s="22" t="str">
        <f t="shared" si="2"/>
        <v/>
      </c>
      <c r="CQ69" s="22" t="str">
        <f t="shared" si="3"/>
        <v/>
      </c>
      <c r="CR69" s="22" t="str">
        <f t="shared" si="4"/>
        <v/>
      </c>
      <c r="CS69" s="22" t="str">
        <f t="shared" si="5"/>
        <v/>
      </c>
    </row>
    <row r="70" spans="1:97" x14ac:dyDescent="0.3">
      <c r="A70" s="22" t="s">
        <v>148</v>
      </c>
      <c r="B70" s="22" t="s">
        <v>149</v>
      </c>
      <c r="D70" s="22" t="s">
        <v>163</v>
      </c>
      <c r="E70" t="s">
        <v>250</v>
      </c>
      <c r="F70" s="22">
        <v>118747</v>
      </c>
      <c r="G70" s="25" t="s">
        <v>203</v>
      </c>
      <c r="H70" s="142">
        <f>Tabel2[[#This Row],[pnt t/m 2021/22]]+Tabel2[[#This Row],[pnt 2022/2023]]</f>
        <v>178.75</v>
      </c>
      <c r="I70">
        <v>2010</v>
      </c>
      <c r="J70">
        <v>2022</v>
      </c>
      <c r="K70" s="24">
        <f>Tabel2[[#This Row],[ijkdatum]]-Tabel2[[#This Row],[Geboren]]</f>
        <v>12</v>
      </c>
      <c r="L70" s="26">
        <f>Tabel2[[#This Row],[TTL 1]]+Tabel2[[#This Row],[TTL 2]]+Tabel2[[#This Row],[TTL 3]]+Tabel2[[#This Row],[TTL 4]]+Tabel2[[#This Row],[TTL 5]]+Tabel2[[#This Row],[TTL 6]]+Tabel2[[#This Row],[TTL 7]]+Tabel2[[#This Row],[TTL 8]]+Tabel2[[#This Row],[TTL 9]]+Tabel2[[#This Row],[TTL 10]]</f>
        <v>0</v>
      </c>
      <c r="M70" s="141">
        <v>178.75</v>
      </c>
      <c r="O70">
        <v>1</v>
      </c>
      <c r="S70" s="23">
        <f>SUM(Tabel2[[#This Row],[V 1]]*10+Tabel2[[#This Row],[GT 1]])/Tabel2[[#This Row],[AW 1]]*10+Tabel2[[#This Row],[BONUS 1]]</f>
        <v>0</v>
      </c>
      <c r="U70">
        <v>1</v>
      </c>
      <c r="Y70" s="23">
        <f>SUM(Tabel2[[#This Row],[V 2]]*10+Tabel2[[#This Row],[GT 2]])/Tabel2[[#This Row],[AW 2]]*10+Tabel2[[#This Row],[BONUS 2]]</f>
        <v>0</v>
      </c>
      <c r="AA70">
        <v>1</v>
      </c>
      <c r="AE70" s="23">
        <f>SUM(Tabel2[[#This Row],[V 3]]*10+Tabel2[[#This Row],[GT 3]])/Tabel2[[#This Row],[AW 3]]*10+Tabel2[[#This Row],[BONUS 3]]</f>
        <v>0</v>
      </c>
      <c r="AG70">
        <v>1</v>
      </c>
      <c r="AK70" s="23">
        <f>SUM(Tabel2[[#This Row],[V 4]]*10+Tabel2[[#This Row],[GT 4]])/Tabel2[[#This Row],[AW 4]]*10+Tabel2[[#This Row],[BONUS 4]]</f>
        <v>0</v>
      </c>
      <c r="AM70">
        <v>1</v>
      </c>
      <c r="AQ70" s="23">
        <f>SUM(Tabel2[[#This Row],[V 5]]*10+Tabel2[[#This Row],[GT 5]])/Tabel2[[#This Row],[AW 5]]*10+Tabel2[[#This Row],[BONUS 5]]</f>
        <v>0</v>
      </c>
      <c r="AS70">
        <v>1</v>
      </c>
      <c r="AW70" s="23">
        <f>SUM(Tabel2[[#This Row],[V 6]]*10+Tabel2[[#This Row],[GT 6]])/Tabel2[[#This Row],[AW 6]]*10+Tabel2[[#This Row],[BONUS 6]]</f>
        <v>0</v>
      </c>
      <c r="AY70">
        <v>1</v>
      </c>
      <c r="BC70" s="23">
        <f>SUM(Tabel2[[#This Row],[V 7]]*10+Tabel2[[#This Row],[GT 7]])/Tabel2[[#This Row],[AW 7]]*10+Tabel2[[#This Row],[BONUS 7]]</f>
        <v>0</v>
      </c>
      <c r="BE70">
        <v>1</v>
      </c>
      <c r="BI70" s="23">
        <f>SUM(Tabel2[[#This Row],[V 8]]*10+Tabel2[[#This Row],[GT 8]])/Tabel2[[#This Row],[AW 8]]*10+Tabel2[[#This Row],[BONUS 8]]</f>
        <v>0</v>
      </c>
      <c r="BK70">
        <v>1</v>
      </c>
      <c r="BO70" s="23">
        <f>SUM(Tabel2[[#This Row],[V 9]]*10+Tabel2[[#This Row],[GT 9]])/Tabel2[[#This Row],[AW 9]]*10+Tabel2[[#This Row],[BONUS 9]]</f>
        <v>0</v>
      </c>
      <c r="BQ70">
        <v>1</v>
      </c>
      <c r="BU70" s="23">
        <f>SUM(Tabel2[[#This Row],[V 10]]*10+Tabel2[[#This Row],[GT 10]])/Tabel2[[#This Row],[AW 10]]*10+Tabel2[[#This Row],[BONUS 10]]</f>
        <v>0</v>
      </c>
      <c r="BV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0" s="22">
        <v>0</v>
      </c>
      <c r="BX70" s="30">
        <f>Tabel2[[#This Row],[Diploma]]-Tabel2[[#This Row],[Uitgeschreven]]</f>
        <v>0</v>
      </c>
      <c r="BY70" s="2" t="str">
        <f t="shared" si="8"/>
        <v>geen actie</v>
      </c>
      <c r="CA70" s="150">
        <f>Tabel2[[#This Row],[pnt t/m 2021/22]]</f>
        <v>178.75</v>
      </c>
      <c r="CB70" s="150">
        <f>Tabel2[[#This Row],[pnt 2022/2023]]</f>
        <v>0</v>
      </c>
      <c r="CC70" s="150">
        <f t="shared" si="6"/>
        <v>178.75</v>
      </c>
      <c r="CD70" s="150">
        <f>IF(Tabel2[[#This Row],[LPR 1]]&gt;0,1,0)</f>
        <v>0</v>
      </c>
      <c r="CE70" s="150">
        <f>IF(Tabel2[[#This Row],[LPR 2]]&gt;0,1,0)</f>
        <v>0</v>
      </c>
      <c r="CF70" s="150">
        <f>IF(Tabel2[[#This Row],[LPR 3]]&gt;0,1,0)</f>
        <v>0</v>
      </c>
      <c r="CG70" s="150">
        <f>IF(Tabel2[[#This Row],[LPR 4]]&gt;0,1,0)</f>
        <v>0</v>
      </c>
      <c r="CH70" s="150">
        <f>IF(Tabel2[[#This Row],[LPR 5]]&gt;0,1,0)</f>
        <v>0</v>
      </c>
      <c r="CI70" s="150">
        <f>IF(Tabel2[[#This Row],[LPR 6]]&gt;0,1,0)</f>
        <v>0</v>
      </c>
      <c r="CJ70" s="150">
        <f>IF(Tabel2[[#This Row],[LPR 7]]&gt;0,1,0)</f>
        <v>0</v>
      </c>
      <c r="CK70" s="150">
        <f>IF(Tabel2[[#This Row],[LPR 8]]&gt;0,1,0)</f>
        <v>0</v>
      </c>
      <c r="CL70" s="150">
        <f>IF(Tabel2[[#This Row],[LPR 9]]&gt;0,1,0)</f>
        <v>0</v>
      </c>
      <c r="CM70" s="150">
        <f>IF(Tabel2[[#This Row],[LPR 10]]&gt;0,1,0)</f>
        <v>0</v>
      </c>
      <c r="CN70" s="150">
        <f>SUM(Tabel7[[#This Row],[sep]:[jun]])</f>
        <v>0</v>
      </c>
      <c r="CO70" s="22" t="str">
        <f t="shared" ref="CO70:CO133" si="9">IF(AND($CA70&lt;1000,$CC70&gt;1000),"x","")</f>
        <v/>
      </c>
      <c r="CP70" s="22" t="str">
        <f t="shared" ref="CP70:CP133" si="10">IF(AND($CA70&lt;1500,$CC70&gt;1500),"x","")</f>
        <v/>
      </c>
      <c r="CQ70" s="22" t="str">
        <f t="shared" ref="CQ70:CQ133" si="11">IF(AND($CA70&lt;2000,$CC70&gt;2000),"x","")</f>
        <v/>
      </c>
      <c r="CR70" s="22" t="str">
        <f t="shared" ref="CR70:CR133" si="12">IF(AND($CA70&lt;2500,$CC70&gt;2500),"x","")</f>
        <v/>
      </c>
      <c r="CS70" s="22" t="str">
        <f t="shared" ref="CS70:CS133" si="13">IF(AND($CA70&lt;3000,$CC70&gt;3000),"x","")</f>
        <v/>
      </c>
    </row>
    <row r="71" spans="1:97" x14ac:dyDescent="0.3">
      <c r="A71" s="22" t="s">
        <v>159</v>
      </c>
      <c r="B71" s="22" t="s">
        <v>149</v>
      </c>
      <c r="D71" s="22" t="s">
        <v>163</v>
      </c>
      <c r="E71" t="s">
        <v>251</v>
      </c>
      <c r="F71" s="22">
        <v>120627</v>
      </c>
      <c r="G71" s="25" t="s">
        <v>167</v>
      </c>
      <c r="H71" s="23">
        <f>Tabel2[[#This Row],[pnt t/m 2021/22]]+Tabel2[[#This Row],[pnt 2022/2023]]</f>
        <v>305.06547619047615</v>
      </c>
      <c r="I71">
        <v>2006</v>
      </c>
      <c r="J71">
        <v>2022</v>
      </c>
      <c r="K71" s="24">
        <f>Tabel2[[#This Row],[ijkdatum]]-Tabel2[[#This Row],[Geboren]]</f>
        <v>16</v>
      </c>
      <c r="L71" s="26">
        <f>Tabel2[[#This Row],[TTL 1]]+Tabel2[[#This Row],[TTL 2]]+Tabel2[[#This Row],[TTL 3]]+Tabel2[[#This Row],[TTL 4]]+Tabel2[[#This Row],[TTL 5]]+Tabel2[[#This Row],[TTL 6]]+Tabel2[[#This Row],[TTL 7]]+Tabel2[[#This Row],[TTL 8]]+Tabel2[[#This Row],[TTL 9]]+Tabel2[[#This Row],[TTL 10]]</f>
        <v>0</v>
      </c>
      <c r="M71" s="153">
        <v>305.06547619047615</v>
      </c>
      <c r="O71">
        <v>1</v>
      </c>
      <c r="S71" s="153">
        <f>SUM(Tabel2[[#This Row],[V 1]]*10+Tabel2[[#This Row],[GT 1]])/Tabel2[[#This Row],[AW 1]]*10+Tabel2[[#This Row],[BONUS 1]]</f>
        <v>0</v>
      </c>
      <c r="U71">
        <v>1</v>
      </c>
      <c r="Y71" s="153">
        <f>SUM(Tabel2[[#This Row],[V 2]]*10+Tabel2[[#This Row],[GT 2]])/Tabel2[[#This Row],[AW 2]]*10+Tabel2[[#This Row],[BONUS 2]]</f>
        <v>0</v>
      </c>
      <c r="AA71">
        <v>1</v>
      </c>
      <c r="AE71" s="153">
        <f>SUM(Tabel2[[#This Row],[V 3]]*10+Tabel2[[#This Row],[GT 3]])/Tabel2[[#This Row],[AW 3]]*10+Tabel2[[#This Row],[BONUS 3]]</f>
        <v>0</v>
      </c>
      <c r="AG71">
        <v>1</v>
      </c>
      <c r="AK71" s="153">
        <f>SUM(Tabel2[[#This Row],[V 4]]*10+Tabel2[[#This Row],[GT 4]])/Tabel2[[#This Row],[AW 4]]*10+Tabel2[[#This Row],[BONUS 4]]</f>
        <v>0</v>
      </c>
      <c r="AM71">
        <v>1</v>
      </c>
      <c r="AQ71" s="153">
        <f>SUM(Tabel2[[#This Row],[V 5]]*10+Tabel2[[#This Row],[GT 5]])/Tabel2[[#This Row],[AW 5]]*10+Tabel2[[#This Row],[BONUS 5]]</f>
        <v>0</v>
      </c>
      <c r="AS71">
        <v>1</v>
      </c>
      <c r="AW71" s="153">
        <f>SUM(Tabel2[[#This Row],[V 6]]*10+Tabel2[[#This Row],[GT 6]])/Tabel2[[#This Row],[AW 6]]*10+Tabel2[[#This Row],[BONUS 6]]</f>
        <v>0</v>
      </c>
      <c r="AY71">
        <v>1</v>
      </c>
      <c r="BC71" s="23">
        <f>SUM(Tabel2[[#This Row],[V 7]]*10+Tabel2[[#This Row],[GT 7]])/Tabel2[[#This Row],[AW 7]]*10+Tabel2[[#This Row],[BONUS 7]]</f>
        <v>0</v>
      </c>
      <c r="BE71">
        <v>1</v>
      </c>
      <c r="BI71" s="23">
        <f>SUM(Tabel2[[#This Row],[V 8]]*10+Tabel2[[#This Row],[GT 8]])/Tabel2[[#This Row],[AW 8]]*10+Tabel2[[#This Row],[BONUS 8]]</f>
        <v>0</v>
      </c>
      <c r="BK71">
        <v>1</v>
      </c>
      <c r="BO71" s="15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1" s="22">
        <v>250</v>
      </c>
      <c r="BX71" s="22">
        <f>Tabel2[[#This Row],[Diploma]]-Tabel2[[#This Row],[Uitgeschreven]]</f>
        <v>0</v>
      </c>
      <c r="BY71" s="155" t="str">
        <f t="shared" si="8"/>
        <v>geen actie</v>
      </c>
      <c r="CA71" s="150">
        <f>Tabel2[[#This Row],[pnt t/m 2021/22]]</f>
        <v>305.06547619047615</v>
      </c>
      <c r="CB71" s="150">
        <f>Tabel2[[#This Row],[pnt 2022/2023]]</f>
        <v>0</v>
      </c>
      <c r="CC71" s="150">
        <f t="shared" ref="CC71:CC134" si="14">CA71+CB71</f>
        <v>305.06547619047615</v>
      </c>
      <c r="CD71" s="150">
        <f>IF(Tabel2[[#This Row],[LPR 1]]&gt;0,1,0)</f>
        <v>0</v>
      </c>
      <c r="CE71" s="150">
        <f>IF(Tabel2[[#This Row],[LPR 2]]&gt;0,1,0)</f>
        <v>0</v>
      </c>
      <c r="CF71" s="150">
        <f>IF(Tabel2[[#This Row],[LPR 3]]&gt;0,1,0)</f>
        <v>0</v>
      </c>
      <c r="CG71" s="150">
        <f>IF(Tabel2[[#This Row],[LPR 4]]&gt;0,1,0)</f>
        <v>0</v>
      </c>
      <c r="CH71" s="150">
        <f>IF(Tabel2[[#This Row],[LPR 5]]&gt;0,1,0)</f>
        <v>0</v>
      </c>
      <c r="CI71" s="150">
        <f>IF(Tabel2[[#This Row],[LPR 6]]&gt;0,1,0)</f>
        <v>0</v>
      </c>
      <c r="CJ71" s="150">
        <f>IF(Tabel2[[#This Row],[LPR 7]]&gt;0,1,0)</f>
        <v>0</v>
      </c>
      <c r="CK71" s="150">
        <f>IF(Tabel2[[#This Row],[LPR 8]]&gt;0,1,0)</f>
        <v>0</v>
      </c>
      <c r="CL71" s="150">
        <f>IF(Tabel2[[#This Row],[LPR 9]]&gt;0,1,0)</f>
        <v>0</v>
      </c>
      <c r="CM71" s="150">
        <f>IF(Tabel2[[#This Row],[LPR 10]]&gt;0,1,0)</f>
        <v>0</v>
      </c>
      <c r="CN71" s="150">
        <f>SUM(Tabel7[[#This Row],[sep]:[jun]])</f>
        <v>0</v>
      </c>
      <c r="CO71" s="22" t="str">
        <f t="shared" si="9"/>
        <v/>
      </c>
      <c r="CP71" s="22" t="str">
        <f t="shared" si="10"/>
        <v/>
      </c>
      <c r="CQ71" s="22" t="str">
        <f t="shared" si="11"/>
        <v/>
      </c>
      <c r="CR71" s="22" t="str">
        <f t="shared" si="12"/>
        <v/>
      </c>
      <c r="CS71" s="22" t="str">
        <f t="shared" si="13"/>
        <v/>
      </c>
    </row>
    <row r="72" spans="1:97" x14ac:dyDescent="0.3">
      <c r="A72" s="22" t="s">
        <v>148</v>
      </c>
      <c r="B72" s="22" t="s">
        <v>149</v>
      </c>
      <c r="D72" s="22" t="s">
        <v>150</v>
      </c>
      <c r="E72" t="s">
        <v>252</v>
      </c>
      <c r="F72" s="22">
        <v>119451</v>
      </c>
      <c r="G72" s="25" t="s">
        <v>169</v>
      </c>
      <c r="H72" s="142">
        <f>Tabel2[[#This Row],[pnt t/m 2021/22]]+Tabel2[[#This Row],[pnt 2022/2023]]</f>
        <v>671.61904761904759</v>
      </c>
      <c r="I72">
        <v>2010</v>
      </c>
      <c r="J72">
        <v>2022</v>
      </c>
      <c r="K72" s="24">
        <f>Tabel2[[#This Row],[ijkdatum]]-Tabel2[[#This Row],[Geboren]]</f>
        <v>12</v>
      </c>
      <c r="L72" s="26">
        <f>Tabel2[[#This Row],[TTL 1]]+Tabel2[[#This Row],[TTL 2]]+Tabel2[[#This Row],[TTL 3]]+Tabel2[[#This Row],[TTL 4]]+Tabel2[[#This Row],[TTL 5]]+Tabel2[[#This Row],[TTL 6]]+Tabel2[[#This Row],[TTL 7]]+Tabel2[[#This Row],[TTL 8]]+Tabel2[[#This Row],[TTL 9]]+Tabel2[[#This Row],[TTL 10]]</f>
        <v>69</v>
      </c>
      <c r="M72" s="141">
        <v>602.61904761904759</v>
      </c>
      <c r="N72">
        <v>3</v>
      </c>
      <c r="O72">
        <v>10</v>
      </c>
      <c r="P72">
        <v>4</v>
      </c>
      <c r="Q72">
        <v>29</v>
      </c>
      <c r="S72" s="23">
        <f>SUM(Tabel2[[#This Row],[V 1]]*10+Tabel2[[#This Row],[GT 1]])/Tabel2[[#This Row],[AW 1]]*10+Tabel2[[#This Row],[BONUS 1]]</f>
        <v>69</v>
      </c>
      <c r="U72">
        <v>1</v>
      </c>
      <c r="Y72" s="23">
        <f>SUM(Tabel2[[#This Row],[V 2]]*10+Tabel2[[#This Row],[GT 2]])/Tabel2[[#This Row],[AW 2]]*10+Tabel2[[#This Row],[BONUS 2]]</f>
        <v>0</v>
      </c>
      <c r="AA72">
        <v>1</v>
      </c>
      <c r="AE72" s="23">
        <f>SUM(Tabel2[[#This Row],[V 3]]*10+Tabel2[[#This Row],[GT 3]])/Tabel2[[#This Row],[AW 3]]*10+Tabel2[[#This Row],[BONUS 3]]</f>
        <v>0</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2" s="22">
        <v>500</v>
      </c>
      <c r="BX72" s="30">
        <f>Tabel2[[#This Row],[Diploma]]-Tabel2[[#This Row],[Uitgeschreven]]</f>
        <v>0</v>
      </c>
      <c r="BY72" s="2" t="str">
        <f t="shared" si="8"/>
        <v>geen actie</v>
      </c>
      <c r="CA72" s="150">
        <f>Tabel2[[#This Row],[pnt t/m 2021/22]]</f>
        <v>602.61904761904759</v>
      </c>
      <c r="CB72" s="150">
        <f>Tabel2[[#This Row],[pnt 2022/2023]]</f>
        <v>69</v>
      </c>
      <c r="CC72" s="150">
        <f t="shared" si="14"/>
        <v>671.61904761904759</v>
      </c>
      <c r="CD72" s="150">
        <f>IF(Tabel2[[#This Row],[LPR 1]]&gt;0,1,0)</f>
        <v>1</v>
      </c>
      <c r="CE72" s="150">
        <f>IF(Tabel2[[#This Row],[LPR 2]]&gt;0,1,0)</f>
        <v>0</v>
      </c>
      <c r="CF72" s="150">
        <f>IF(Tabel2[[#This Row],[LPR 3]]&gt;0,1,0)</f>
        <v>0</v>
      </c>
      <c r="CG72" s="150">
        <f>IF(Tabel2[[#This Row],[LPR 4]]&gt;0,1,0)</f>
        <v>0</v>
      </c>
      <c r="CH72" s="150">
        <f>IF(Tabel2[[#This Row],[LPR 5]]&gt;0,1,0)</f>
        <v>0</v>
      </c>
      <c r="CI72" s="150">
        <f>IF(Tabel2[[#This Row],[LPR 6]]&gt;0,1,0)</f>
        <v>0</v>
      </c>
      <c r="CJ72" s="150">
        <f>IF(Tabel2[[#This Row],[LPR 7]]&gt;0,1,0)</f>
        <v>0</v>
      </c>
      <c r="CK72" s="150">
        <f>IF(Tabel2[[#This Row],[LPR 8]]&gt;0,1,0)</f>
        <v>0</v>
      </c>
      <c r="CL72" s="150">
        <f>IF(Tabel2[[#This Row],[LPR 9]]&gt;0,1,0)</f>
        <v>0</v>
      </c>
      <c r="CM72" s="150">
        <f>IF(Tabel2[[#This Row],[LPR 10]]&gt;0,1,0)</f>
        <v>0</v>
      </c>
      <c r="CN72" s="150">
        <f>SUM(Tabel7[[#This Row],[sep]:[jun]])</f>
        <v>1</v>
      </c>
      <c r="CO72" s="22" t="str">
        <f t="shared" si="9"/>
        <v/>
      </c>
      <c r="CP72" s="22" t="str">
        <f t="shared" si="10"/>
        <v/>
      </c>
      <c r="CQ72" s="22" t="str">
        <f t="shared" si="11"/>
        <v/>
      </c>
      <c r="CR72" s="22" t="str">
        <f t="shared" si="12"/>
        <v/>
      </c>
      <c r="CS72" s="22" t="str">
        <f t="shared" si="13"/>
        <v/>
      </c>
    </row>
    <row r="73" spans="1:97" x14ac:dyDescent="0.3">
      <c r="A73" s="22" t="s">
        <v>173</v>
      </c>
      <c r="B73" s="22" t="s">
        <v>149</v>
      </c>
      <c r="D73" s="22" t="s">
        <v>160</v>
      </c>
      <c r="E73" t="s">
        <v>253</v>
      </c>
      <c r="F73" s="22">
        <v>120795</v>
      </c>
      <c r="G73" s="25" t="s">
        <v>195</v>
      </c>
      <c r="H73" s="142">
        <f>Tabel2[[#This Row],[pnt t/m 2021/22]]+Tabel2[[#This Row],[pnt 2022/2023]]</f>
        <v>18</v>
      </c>
      <c r="I73">
        <v>2014</v>
      </c>
      <c r="J73">
        <v>2023</v>
      </c>
      <c r="K73" s="24">
        <f>Tabel2[[#This Row],[ijkdatum]]-Tabel2[[#This Row],[Geboren]]</f>
        <v>9</v>
      </c>
      <c r="L73" s="26">
        <f>Tabel2[[#This Row],[TTL 1]]+Tabel2[[#This Row],[TTL 2]]+Tabel2[[#This Row],[TTL 3]]+Tabel2[[#This Row],[TTL 4]]+Tabel2[[#This Row],[TTL 5]]+Tabel2[[#This Row],[TTL 6]]+Tabel2[[#This Row],[TTL 7]]+Tabel2[[#This Row],[TTL 8]]+Tabel2[[#This Row],[TTL 9]]+Tabel2[[#This Row],[TTL 10]]</f>
        <v>18</v>
      </c>
      <c r="M73" s="141"/>
      <c r="O73">
        <v>1</v>
      </c>
      <c r="S73" s="23">
        <f>SUM(Tabel2[[#This Row],[V 1]]*10+Tabel2[[#This Row],[GT 1]])/Tabel2[[#This Row],[AW 1]]*10+Tabel2[[#This Row],[BONUS 1]]</f>
        <v>0</v>
      </c>
      <c r="U73">
        <v>1</v>
      </c>
      <c r="Y73" s="23">
        <f>SUM(Tabel2[[#This Row],[V 2]]*10+Tabel2[[#This Row],[GT 2]])/Tabel2[[#This Row],[AW 2]]*10+Tabel2[[#This Row],[BONUS 2]]</f>
        <v>0</v>
      </c>
      <c r="Z73">
        <v>3</v>
      </c>
      <c r="AA73">
        <v>10</v>
      </c>
      <c r="AB73">
        <v>0</v>
      </c>
      <c r="AC73">
        <v>18</v>
      </c>
      <c r="AE73" s="23">
        <f>SUM(Tabel2[[#This Row],[V 3]]*10+Tabel2[[#This Row],[GT 3]])/Tabel2[[#This Row],[AW 3]]*10+Tabel2[[#This Row],[BONUS 3]]</f>
        <v>18</v>
      </c>
      <c r="AG73">
        <v>1</v>
      </c>
      <c r="AK73" s="23">
        <f>SUM(Tabel2[[#This Row],[V 4]]*10+Tabel2[[#This Row],[GT 4]])/Tabel2[[#This Row],[AW 4]]*10+Tabel2[[#This Row],[BONUS 4]]</f>
        <v>0</v>
      </c>
      <c r="AM73">
        <v>1</v>
      </c>
      <c r="AQ73" s="23">
        <f>SUM(Tabel2[[#This Row],[V 5]]*10+Tabel2[[#This Row],[GT 5]])/Tabel2[[#This Row],[AW 5]]*10+Tabel2[[#This Row],[BONUS 5]]</f>
        <v>0</v>
      </c>
      <c r="AS73">
        <v>1</v>
      </c>
      <c r="AW73" s="23">
        <f>SUM(Tabel2[[#This Row],[V 6]]*10+Tabel2[[#This Row],[GT 6]])/Tabel2[[#This Row],[AW 6]]*10+Tabel2[[#This Row],[BONUS 6]]</f>
        <v>0</v>
      </c>
      <c r="AY73">
        <v>1</v>
      </c>
      <c r="BC73" s="23">
        <f>SUM(Tabel2[[#This Row],[V 7]]*10+Tabel2[[#This Row],[GT 7]])/Tabel2[[#This Row],[AW 7]]*10+Tabel2[[#This Row],[BONUS 7]]</f>
        <v>0</v>
      </c>
      <c r="BE73">
        <v>1</v>
      </c>
      <c r="BI73" s="23">
        <f>SUM(Tabel2[[#This Row],[V 8]]*10+Tabel2[[#This Row],[GT 8]])/Tabel2[[#This Row],[AW 8]]*10+Tabel2[[#This Row],[BONUS 8]]</f>
        <v>0</v>
      </c>
      <c r="BK73">
        <v>1</v>
      </c>
      <c r="BO73" s="23">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3" s="22">
        <v>0</v>
      </c>
      <c r="BX73" s="30">
        <f>Tabel2[[#This Row],[Diploma]]-Tabel2[[#This Row],[Uitgeschreven]]</f>
        <v>0</v>
      </c>
      <c r="BY73" s="2" t="str">
        <f t="shared" si="8"/>
        <v>geen actie</v>
      </c>
      <c r="CA73" s="150">
        <f>Tabel2[[#This Row],[pnt t/m 2021/22]]</f>
        <v>0</v>
      </c>
      <c r="CB73" s="150">
        <f>Tabel2[[#This Row],[pnt 2022/2023]]</f>
        <v>18</v>
      </c>
      <c r="CC73" s="150">
        <f t="shared" si="14"/>
        <v>18</v>
      </c>
      <c r="CD73" s="150">
        <f>IF(Tabel2[[#This Row],[LPR 1]]&gt;0,1,0)</f>
        <v>0</v>
      </c>
      <c r="CE73" s="150">
        <f>IF(Tabel2[[#This Row],[LPR 2]]&gt;0,1,0)</f>
        <v>0</v>
      </c>
      <c r="CF73" s="150">
        <f>IF(Tabel2[[#This Row],[LPR 3]]&gt;0,1,0)</f>
        <v>1</v>
      </c>
      <c r="CG73" s="150">
        <f>IF(Tabel2[[#This Row],[LPR 4]]&gt;0,1,0)</f>
        <v>0</v>
      </c>
      <c r="CH73" s="150">
        <f>IF(Tabel2[[#This Row],[LPR 5]]&gt;0,1,0)</f>
        <v>0</v>
      </c>
      <c r="CI73" s="150">
        <f>IF(Tabel2[[#This Row],[LPR 6]]&gt;0,1,0)</f>
        <v>0</v>
      </c>
      <c r="CJ73" s="150">
        <f>IF(Tabel2[[#This Row],[LPR 7]]&gt;0,1,0)</f>
        <v>0</v>
      </c>
      <c r="CK73" s="150">
        <f>IF(Tabel2[[#This Row],[LPR 8]]&gt;0,1,0)</f>
        <v>0</v>
      </c>
      <c r="CL73" s="150">
        <f>IF(Tabel2[[#This Row],[LPR 9]]&gt;0,1,0)</f>
        <v>0</v>
      </c>
      <c r="CM73" s="150">
        <f>IF(Tabel2[[#This Row],[LPR 10]]&gt;0,1,0)</f>
        <v>0</v>
      </c>
      <c r="CN73" s="150">
        <f>SUM(Tabel7[[#This Row],[sep]:[jun]])</f>
        <v>1</v>
      </c>
      <c r="CO73" s="22" t="str">
        <f t="shared" si="9"/>
        <v/>
      </c>
      <c r="CP73" s="22" t="str">
        <f t="shared" si="10"/>
        <v/>
      </c>
      <c r="CQ73" s="22" t="str">
        <f t="shared" si="11"/>
        <v/>
      </c>
      <c r="CR73" s="22" t="str">
        <f t="shared" si="12"/>
        <v/>
      </c>
      <c r="CS73" s="22" t="str">
        <f t="shared" si="13"/>
        <v/>
      </c>
    </row>
    <row r="74" spans="1:97" x14ac:dyDescent="0.3">
      <c r="A74" s="22" t="s">
        <v>156</v>
      </c>
      <c r="B74" s="22" t="s">
        <v>157</v>
      </c>
      <c r="D74" s="22" t="s">
        <v>163</v>
      </c>
      <c r="E74" t="s">
        <v>254</v>
      </c>
      <c r="F74" s="22">
        <v>119577</v>
      </c>
      <c r="G74" s="25" t="s">
        <v>201</v>
      </c>
      <c r="H74" s="142">
        <f>Tabel2[[#This Row],[pnt t/m 2021/22]]+Tabel2[[#This Row],[pnt 2022/2023]]</f>
        <v>334.77777777777783</v>
      </c>
      <c r="I74">
        <v>2008</v>
      </c>
      <c r="J74">
        <v>2022</v>
      </c>
      <c r="K74" s="24">
        <f>Tabel2[[#This Row],[ijkdatum]]-Tabel2[[#This Row],[Geboren]]</f>
        <v>14</v>
      </c>
      <c r="L74" s="26">
        <f>Tabel2[[#This Row],[TTL 1]]+Tabel2[[#This Row],[TTL 2]]+Tabel2[[#This Row],[TTL 3]]+Tabel2[[#This Row],[TTL 4]]+Tabel2[[#This Row],[TTL 5]]+Tabel2[[#This Row],[TTL 6]]+Tabel2[[#This Row],[TTL 7]]+Tabel2[[#This Row],[TTL 8]]+Tabel2[[#This Row],[TTL 9]]+Tabel2[[#This Row],[TTL 10]]</f>
        <v>0</v>
      </c>
      <c r="M74" s="141">
        <v>334.77777777777783</v>
      </c>
      <c r="O74">
        <v>1</v>
      </c>
      <c r="S74" s="23">
        <f>SUM(Tabel2[[#This Row],[V 1]]*10+Tabel2[[#This Row],[GT 1]])/Tabel2[[#This Row],[AW 1]]*10+Tabel2[[#This Row],[BONUS 1]]</f>
        <v>0</v>
      </c>
      <c r="U74">
        <v>1</v>
      </c>
      <c r="Y74" s="23">
        <f>SUM(Tabel2[[#This Row],[V 2]]*10+Tabel2[[#This Row],[GT 2]])/Tabel2[[#This Row],[AW 2]]*10+Tabel2[[#This Row],[BONUS 2]]</f>
        <v>0</v>
      </c>
      <c r="AA74">
        <v>1</v>
      </c>
      <c r="AE74" s="23">
        <f>SUM(Tabel2[[#This Row],[V 3]]*10+Tabel2[[#This Row],[GT 3]])/Tabel2[[#This Row],[AW 3]]*10+Tabel2[[#This Row],[BONUS 3]]</f>
        <v>0</v>
      </c>
      <c r="AG74">
        <v>1</v>
      </c>
      <c r="AK74" s="23">
        <f>SUM(Tabel2[[#This Row],[V 4]]*10+Tabel2[[#This Row],[GT 4]])/Tabel2[[#This Row],[AW 4]]*10+Tabel2[[#This Row],[BONUS 4]]</f>
        <v>0</v>
      </c>
      <c r="AM74">
        <v>1</v>
      </c>
      <c r="AQ74" s="23">
        <f>SUM(Tabel2[[#This Row],[V 5]]*10+Tabel2[[#This Row],[GT 5]])/Tabel2[[#This Row],[AW 5]]*10+Tabel2[[#This Row],[BONUS 5]]</f>
        <v>0</v>
      </c>
      <c r="AS74">
        <v>1</v>
      </c>
      <c r="AW74" s="23">
        <f>SUM(Tabel2[[#This Row],[V 6]]*10+Tabel2[[#This Row],[GT 6]])/Tabel2[[#This Row],[AW 6]]*10+Tabel2[[#This Row],[BONUS 6]]</f>
        <v>0</v>
      </c>
      <c r="AY74">
        <v>1</v>
      </c>
      <c r="BC74" s="23">
        <f>SUM(Tabel2[[#This Row],[V 7]]*10+Tabel2[[#This Row],[GT 7]])/Tabel2[[#This Row],[AW 7]]*10+Tabel2[[#This Row],[BONUS 7]]</f>
        <v>0</v>
      </c>
      <c r="BE74">
        <v>1</v>
      </c>
      <c r="BI74" s="23">
        <f>SUM(Tabel2[[#This Row],[V 8]]*10+Tabel2[[#This Row],[GT 8]])/Tabel2[[#This Row],[AW 8]]*10+Tabel2[[#This Row],[BONUS 8]]</f>
        <v>0</v>
      </c>
      <c r="BK74">
        <v>1</v>
      </c>
      <c r="BO74" s="23">
        <f>SUM(Tabel2[[#This Row],[V 9]]*10+Tabel2[[#This Row],[GT 9]])/Tabel2[[#This Row],[AW 9]]*10+Tabel2[[#This Row],[BONUS 9]]</f>
        <v>0</v>
      </c>
      <c r="BQ74">
        <v>1</v>
      </c>
      <c r="BU74" s="23">
        <f>SUM(Tabel2[[#This Row],[V 10]]*10+Tabel2[[#This Row],[GT 10]])/Tabel2[[#This Row],[AW 10]]*10+Tabel2[[#This Row],[BONUS 10]]</f>
        <v>0</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4" s="22">
        <v>250</v>
      </c>
      <c r="BX74" s="30">
        <f>Tabel2[[#This Row],[Diploma]]-Tabel2[[#This Row],[Uitgeschreven]]</f>
        <v>0</v>
      </c>
      <c r="BY74" s="2" t="str">
        <f t="shared" si="8"/>
        <v>geen actie</v>
      </c>
      <c r="CA74" s="150">
        <f>Tabel2[[#This Row],[pnt t/m 2021/22]]</f>
        <v>334.77777777777783</v>
      </c>
      <c r="CB74" s="150">
        <f>Tabel2[[#This Row],[pnt 2022/2023]]</f>
        <v>0</v>
      </c>
      <c r="CC74" s="150">
        <f t="shared" si="14"/>
        <v>334.77777777777783</v>
      </c>
      <c r="CD74" s="150">
        <f>IF(Tabel2[[#This Row],[LPR 1]]&gt;0,1,0)</f>
        <v>0</v>
      </c>
      <c r="CE74" s="150">
        <f>IF(Tabel2[[#This Row],[LPR 2]]&gt;0,1,0)</f>
        <v>0</v>
      </c>
      <c r="CF74" s="150">
        <f>IF(Tabel2[[#This Row],[LPR 3]]&gt;0,1,0)</f>
        <v>0</v>
      </c>
      <c r="CG74" s="150">
        <f>IF(Tabel2[[#This Row],[LPR 4]]&gt;0,1,0)</f>
        <v>0</v>
      </c>
      <c r="CH74" s="150">
        <f>IF(Tabel2[[#This Row],[LPR 5]]&gt;0,1,0)</f>
        <v>0</v>
      </c>
      <c r="CI74" s="150">
        <f>IF(Tabel2[[#This Row],[LPR 6]]&gt;0,1,0)</f>
        <v>0</v>
      </c>
      <c r="CJ74" s="150">
        <f>IF(Tabel2[[#This Row],[LPR 7]]&gt;0,1,0)</f>
        <v>0</v>
      </c>
      <c r="CK74" s="150">
        <f>IF(Tabel2[[#This Row],[LPR 8]]&gt;0,1,0)</f>
        <v>0</v>
      </c>
      <c r="CL74" s="150">
        <f>IF(Tabel2[[#This Row],[LPR 9]]&gt;0,1,0)</f>
        <v>0</v>
      </c>
      <c r="CM74" s="150">
        <f>IF(Tabel2[[#This Row],[LPR 10]]&gt;0,1,0)</f>
        <v>0</v>
      </c>
      <c r="CN74" s="150">
        <f>SUM(Tabel7[[#This Row],[sep]:[jun]])</f>
        <v>0</v>
      </c>
      <c r="CO74" s="22" t="str">
        <f t="shared" si="9"/>
        <v/>
      </c>
      <c r="CP74" s="22" t="str">
        <f t="shared" si="10"/>
        <v/>
      </c>
      <c r="CQ74" s="22" t="str">
        <f t="shared" si="11"/>
        <v/>
      </c>
      <c r="CR74" s="22" t="str">
        <f t="shared" si="12"/>
        <v/>
      </c>
      <c r="CS74" s="22" t="str">
        <f t="shared" si="13"/>
        <v/>
      </c>
    </row>
    <row r="75" spans="1:97" x14ac:dyDescent="0.3">
      <c r="A75" s="22" t="s">
        <v>173</v>
      </c>
      <c r="B75" s="22" t="s">
        <v>149</v>
      </c>
      <c r="D75" s="22" t="s">
        <v>150</v>
      </c>
      <c r="E75" t="s">
        <v>255</v>
      </c>
      <c r="F75" s="22">
        <v>120429</v>
      </c>
      <c r="G75" s="25" t="s">
        <v>195</v>
      </c>
      <c r="H75" s="142">
        <f>Tabel2[[#This Row],[pnt t/m 2021/22]]+Tabel2[[#This Row],[pnt 2022/2023]]</f>
        <v>291.66666666666663</v>
      </c>
      <c r="I75">
        <v>2010</v>
      </c>
      <c r="J75">
        <v>2023</v>
      </c>
      <c r="K75" s="24">
        <f>Tabel2[[#This Row],[ijkdatum]]-Tabel2[[#This Row],[Geboren]]</f>
        <v>13</v>
      </c>
      <c r="L75" s="26">
        <f>Tabel2[[#This Row],[TTL 1]]+Tabel2[[#This Row],[TTL 2]]+Tabel2[[#This Row],[TTL 3]]+Tabel2[[#This Row],[TTL 4]]+Tabel2[[#This Row],[TTL 5]]+Tabel2[[#This Row],[TTL 6]]+Tabel2[[#This Row],[TTL 7]]+Tabel2[[#This Row],[TTL 8]]+Tabel2[[#This Row],[TTL 9]]+Tabel2[[#This Row],[TTL 10]]</f>
        <v>291.66666666666663</v>
      </c>
      <c r="M75" s="141"/>
      <c r="N75">
        <v>4</v>
      </c>
      <c r="O75">
        <v>10</v>
      </c>
      <c r="P75">
        <v>4</v>
      </c>
      <c r="Q75">
        <v>31</v>
      </c>
      <c r="S75" s="23">
        <f>SUM(Tabel2[[#This Row],[V 1]]*10+Tabel2[[#This Row],[GT 1]])/Tabel2[[#This Row],[AW 1]]*10+Tabel2[[#This Row],[BONUS 1]]</f>
        <v>71</v>
      </c>
      <c r="T75">
        <v>3</v>
      </c>
      <c r="U75">
        <v>10</v>
      </c>
      <c r="V75">
        <v>7</v>
      </c>
      <c r="W75">
        <v>44</v>
      </c>
      <c r="Y75" s="23">
        <f>SUM(Tabel2[[#This Row],[V 2]]*10+Tabel2[[#This Row],[GT 2]])/Tabel2[[#This Row],[AW 2]]*10+Tabel2[[#This Row],[BONUS 2]]</f>
        <v>114</v>
      </c>
      <c r="Z75">
        <v>3</v>
      </c>
      <c r="AA75">
        <v>12</v>
      </c>
      <c r="AB75">
        <v>8</v>
      </c>
      <c r="AC75">
        <v>48</v>
      </c>
      <c r="AE75" s="23">
        <f>SUM(Tabel2[[#This Row],[V 3]]*10+Tabel2[[#This Row],[GT 3]])/Tabel2[[#This Row],[AW 3]]*10+Tabel2[[#This Row],[BONUS 3]]</f>
        <v>106.66666666666666</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5" s="22">
        <v>0</v>
      </c>
      <c r="BX75" s="30">
        <f>Tabel2[[#This Row],[Diploma]]-Tabel2[[#This Row],[Uitgeschreven]]</f>
        <v>250</v>
      </c>
      <c r="BY75" s="2" t="str">
        <f t="shared" si="8"/>
        <v>diploma uitschrijven: 250 punten</v>
      </c>
      <c r="CA75" s="150">
        <f>Tabel2[[#This Row],[pnt t/m 2021/22]]</f>
        <v>0</v>
      </c>
      <c r="CB75" s="150">
        <f>Tabel2[[#This Row],[pnt 2022/2023]]</f>
        <v>291.66666666666663</v>
      </c>
      <c r="CC75" s="150">
        <f t="shared" si="14"/>
        <v>291.66666666666663</v>
      </c>
      <c r="CD75" s="150">
        <f>IF(Tabel2[[#This Row],[LPR 1]]&gt;0,1,0)</f>
        <v>1</v>
      </c>
      <c r="CE75" s="150">
        <f>IF(Tabel2[[#This Row],[LPR 2]]&gt;0,1,0)</f>
        <v>1</v>
      </c>
      <c r="CF75" s="150">
        <f>IF(Tabel2[[#This Row],[LPR 3]]&gt;0,1,0)</f>
        <v>1</v>
      </c>
      <c r="CG75" s="150">
        <f>IF(Tabel2[[#This Row],[LPR 4]]&gt;0,1,0)</f>
        <v>0</v>
      </c>
      <c r="CH75" s="150">
        <f>IF(Tabel2[[#This Row],[LPR 5]]&gt;0,1,0)</f>
        <v>0</v>
      </c>
      <c r="CI75" s="150">
        <f>IF(Tabel2[[#This Row],[LPR 6]]&gt;0,1,0)</f>
        <v>0</v>
      </c>
      <c r="CJ75" s="150">
        <f>IF(Tabel2[[#This Row],[LPR 7]]&gt;0,1,0)</f>
        <v>0</v>
      </c>
      <c r="CK75" s="150">
        <f>IF(Tabel2[[#This Row],[LPR 8]]&gt;0,1,0)</f>
        <v>0</v>
      </c>
      <c r="CL75" s="150">
        <f>IF(Tabel2[[#This Row],[LPR 9]]&gt;0,1,0)</f>
        <v>0</v>
      </c>
      <c r="CM75" s="150">
        <f>IF(Tabel2[[#This Row],[LPR 10]]&gt;0,1,0)</f>
        <v>0</v>
      </c>
      <c r="CN75" s="150">
        <f>SUM(Tabel7[[#This Row],[sep]:[jun]])</f>
        <v>3</v>
      </c>
      <c r="CO75" s="22" t="str">
        <f t="shared" si="9"/>
        <v/>
      </c>
      <c r="CP75" s="22" t="str">
        <f t="shared" si="10"/>
        <v/>
      </c>
      <c r="CQ75" s="22" t="str">
        <f t="shared" si="11"/>
        <v/>
      </c>
      <c r="CR75" s="22" t="str">
        <f t="shared" si="12"/>
        <v/>
      </c>
      <c r="CS75" s="22" t="str">
        <f t="shared" si="13"/>
        <v/>
      </c>
    </row>
    <row r="76" spans="1:97" x14ac:dyDescent="0.3">
      <c r="A76" s="22" t="s">
        <v>148</v>
      </c>
      <c r="B76" s="22" t="s">
        <v>149</v>
      </c>
      <c r="D76" s="22" t="s">
        <v>163</v>
      </c>
      <c r="E76" t="s">
        <v>256</v>
      </c>
      <c r="F76" s="22">
        <v>117721</v>
      </c>
      <c r="G76" s="25" t="s">
        <v>201</v>
      </c>
      <c r="H76" s="142">
        <f>Tabel2[[#This Row],[pnt t/m 2021/22]]+Tabel2[[#This Row],[pnt 2022/2023]]</f>
        <v>460.9220779220779</v>
      </c>
      <c r="I76">
        <v>2008</v>
      </c>
      <c r="J76">
        <v>2022</v>
      </c>
      <c r="K76" s="24">
        <f>Tabel2[[#This Row],[ijkdatum]]-Tabel2[[#This Row],[Geboren]]</f>
        <v>14</v>
      </c>
      <c r="L76" s="26">
        <f>Tabel2[[#This Row],[TTL 1]]+Tabel2[[#This Row],[TTL 2]]+Tabel2[[#This Row],[TTL 3]]+Tabel2[[#This Row],[TTL 4]]+Tabel2[[#This Row],[TTL 5]]+Tabel2[[#This Row],[TTL 6]]+Tabel2[[#This Row],[TTL 7]]+Tabel2[[#This Row],[TTL 8]]+Tabel2[[#This Row],[TTL 9]]+Tabel2[[#This Row],[TTL 10]]</f>
        <v>0</v>
      </c>
      <c r="M76" s="157">
        <v>460.9220779220779</v>
      </c>
      <c r="O76">
        <v>1</v>
      </c>
      <c r="S76" s="23">
        <f>SUM(Tabel2[[#This Row],[V 1]]*10+Tabel2[[#This Row],[GT 1]])/Tabel2[[#This Row],[AW 1]]*10+Tabel2[[#This Row],[BONUS 1]]</f>
        <v>0</v>
      </c>
      <c r="U76">
        <v>1</v>
      </c>
      <c r="Y76" s="23">
        <f>SUM(Tabel2[[#This Row],[V 2]]*10+Tabel2[[#This Row],[GT 2]])/Tabel2[[#This Row],[AW 2]]*10+Tabel2[[#This Row],[BONUS 2]]</f>
        <v>0</v>
      </c>
      <c r="AA76">
        <v>1</v>
      </c>
      <c r="AE76" s="23">
        <f>SUM(Tabel2[[#This Row],[V 3]]*10+Tabel2[[#This Row],[GT 3]])/Tabel2[[#This Row],[AW 3]]*10+Tabel2[[#This Row],[BONUS 3]]</f>
        <v>0</v>
      </c>
      <c r="AG76">
        <v>1</v>
      </c>
      <c r="AK76" s="23">
        <f>SUM(Tabel2[[#This Row],[V 4]]*10+Tabel2[[#This Row],[GT 4]])/Tabel2[[#This Row],[AW 4]]*10+Tabel2[[#This Row],[BONUS 4]]</f>
        <v>0</v>
      </c>
      <c r="AM76">
        <v>1</v>
      </c>
      <c r="AQ76" s="23">
        <f>SUM(Tabel2[[#This Row],[V 5]]*10+Tabel2[[#This Row],[GT 5]])/Tabel2[[#This Row],[AW 5]]*10+Tabel2[[#This Row],[BONUS 5]]</f>
        <v>0</v>
      </c>
      <c r="AS76">
        <v>1</v>
      </c>
      <c r="AW76" s="23">
        <f>SUM(Tabel2[[#This Row],[V 6]]*10+Tabel2[[#This Row],[GT 6]])/Tabel2[[#This Row],[AW 6]]*10+Tabel2[[#This Row],[BONUS 6]]</f>
        <v>0</v>
      </c>
      <c r="AY76">
        <v>1</v>
      </c>
      <c r="BC76" s="23">
        <f>SUM(Tabel2[[#This Row],[V 7]]*10+Tabel2[[#This Row],[GT 7]])/Tabel2[[#This Row],[AW 7]]*10+Tabel2[[#This Row],[BONUS 7]]</f>
        <v>0</v>
      </c>
      <c r="BE76">
        <v>1</v>
      </c>
      <c r="BI76" s="23">
        <f>SUM(Tabel2[[#This Row],[V 8]]*10+Tabel2[[#This Row],[GT 8]])/Tabel2[[#This Row],[AW 8]]*10+Tabel2[[#This Row],[BONUS 8]]</f>
        <v>0</v>
      </c>
      <c r="BK76">
        <v>1</v>
      </c>
      <c r="BO76" s="23">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6" s="22">
        <v>250</v>
      </c>
      <c r="BX76" s="30">
        <f>Tabel2[[#This Row],[Diploma]]-Tabel2[[#This Row],[Uitgeschreven]]</f>
        <v>0</v>
      </c>
      <c r="BY76" s="2" t="str">
        <f t="shared" si="8"/>
        <v>geen actie</v>
      </c>
      <c r="CA76" s="150">
        <f>Tabel2[[#This Row],[pnt t/m 2021/22]]</f>
        <v>460.9220779220779</v>
      </c>
      <c r="CB76" s="150">
        <f>Tabel2[[#This Row],[pnt 2022/2023]]</f>
        <v>0</v>
      </c>
      <c r="CC76" s="150">
        <f t="shared" si="14"/>
        <v>460.9220779220779</v>
      </c>
      <c r="CD76" s="150">
        <f>IF(Tabel2[[#This Row],[LPR 1]]&gt;0,1,0)</f>
        <v>0</v>
      </c>
      <c r="CE76" s="150">
        <f>IF(Tabel2[[#This Row],[LPR 2]]&gt;0,1,0)</f>
        <v>0</v>
      </c>
      <c r="CF76" s="150">
        <f>IF(Tabel2[[#This Row],[LPR 3]]&gt;0,1,0)</f>
        <v>0</v>
      </c>
      <c r="CG76" s="150">
        <f>IF(Tabel2[[#This Row],[LPR 4]]&gt;0,1,0)</f>
        <v>0</v>
      </c>
      <c r="CH76" s="150">
        <f>IF(Tabel2[[#This Row],[LPR 5]]&gt;0,1,0)</f>
        <v>0</v>
      </c>
      <c r="CI76" s="150">
        <f>IF(Tabel2[[#This Row],[LPR 6]]&gt;0,1,0)</f>
        <v>0</v>
      </c>
      <c r="CJ76" s="150">
        <f>IF(Tabel2[[#This Row],[LPR 7]]&gt;0,1,0)</f>
        <v>0</v>
      </c>
      <c r="CK76" s="150">
        <f>IF(Tabel2[[#This Row],[LPR 8]]&gt;0,1,0)</f>
        <v>0</v>
      </c>
      <c r="CL76" s="150">
        <f>IF(Tabel2[[#This Row],[LPR 9]]&gt;0,1,0)</f>
        <v>0</v>
      </c>
      <c r="CM76" s="150">
        <f>IF(Tabel2[[#This Row],[LPR 10]]&gt;0,1,0)</f>
        <v>0</v>
      </c>
      <c r="CN76" s="150">
        <f>SUM(Tabel7[[#This Row],[sep]:[jun]])</f>
        <v>0</v>
      </c>
      <c r="CO76" s="22" t="str">
        <f t="shared" si="9"/>
        <v/>
      </c>
      <c r="CP76" s="22" t="str">
        <f t="shared" si="10"/>
        <v/>
      </c>
      <c r="CQ76" s="22" t="str">
        <f t="shared" si="11"/>
        <v/>
      </c>
      <c r="CR76" s="22" t="str">
        <f t="shared" si="12"/>
        <v/>
      </c>
      <c r="CS76" s="22" t="str">
        <f t="shared" si="13"/>
        <v/>
      </c>
    </row>
    <row r="77" spans="1:97" x14ac:dyDescent="0.3">
      <c r="A77" s="22" t="s">
        <v>148</v>
      </c>
      <c r="B77" s="22" t="s">
        <v>149</v>
      </c>
      <c r="D77" s="22" t="s">
        <v>160</v>
      </c>
      <c r="E77" t="s">
        <v>257</v>
      </c>
      <c r="F77" s="22">
        <v>119076</v>
      </c>
      <c r="G77" s="25" t="s">
        <v>169</v>
      </c>
      <c r="H77" s="142">
        <f>Tabel2[[#This Row],[pnt t/m 2021/22]]+Tabel2[[#This Row],[pnt 2022/2023]]</f>
        <v>1263.4658119658118</v>
      </c>
      <c r="I77">
        <v>2010</v>
      </c>
      <c r="J77">
        <v>2022</v>
      </c>
      <c r="K77" s="24">
        <f>Tabel2[[#This Row],[ijkdatum]]-Tabel2[[#This Row],[Geboren]]</f>
        <v>12</v>
      </c>
      <c r="L77" s="26">
        <f>Tabel2[[#This Row],[TTL 1]]+Tabel2[[#This Row],[TTL 2]]+Tabel2[[#This Row],[TTL 3]]+Tabel2[[#This Row],[TTL 4]]+Tabel2[[#This Row],[TTL 5]]+Tabel2[[#This Row],[TTL 6]]+Tabel2[[#This Row],[TTL 7]]+Tabel2[[#This Row],[TTL 8]]+Tabel2[[#This Row],[TTL 9]]+Tabel2[[#This Row],[TTL 10]]</f>
        <v>113.33333333333334</v>
      </c>
      <c r="M77" s="141">
        <v>1150.1324786324785</v>
      </c>
      <c r="N77">
        <v>2</v>
      </c>
      <c r="O77">
        <v>6</v>
      </c>
      <c r="P77">
        <v>4</v>
      </c>
      <c r="Q77">
        <v>28</v>
      </c>
      <c r="S77" s="23">
        <f>SUM(Tabel2[[#This Row],[V 1]]*10+Tabel2[[#This Row],[GT 1]])/Tabel2[[#This Row],[AW 1]]*10+Tabel2[[#This Row],[BONUS 1]]</f>
        <v>113.33333333333334</v>
      </c>
      <c r="U77">
        <v>1</v>
      </c>
      <c r="Y77" s="23">
        <f>SUM(Tabel2[[#This Row],[V 2]]*10+Tabel2[[#This Row],[GT 2]])/Tabel2[[#This Row],[AW 2]]*10+Tabel2[[#This Row],[BONUS 2]]</f>
        <v>0</v>
      </c>
      <c r="AA77">
        <v>1</v>
      </c>
      <c r="AE77" s="23">
        <f>SUM(Tabel2[[#This Row],[V 3]]*10+Tabel2[[#This Row],[GT 3]])/Tabel2[[#This Row],[AW 3]]*10+Tabel2[[#This Row],[BONUS 3]]</f>
        <v>0</v>
      </c>
      <c r="AG77">
        <v>1</v>
      </c>
      <c r="AK77" s="23">
        <f>SUM(Tabel2[[#This Row],[V 4]]*10+Tabel2[[#This Row],[GT 4]])/Tabel2[[#This Row],[AW 4]]*10+Tabel2[[#This Row],[BONUS 4]]</f>
        <v>0</v>
      </c>
      <c r="AM77">
        <v>1</v>
      </c>
      <c r="AQ77" s="23">
        <f>SUM(Tabel2[[#This Row],[V 5]]*10+Tabel2[[#This Row],[GT 5]])/Tabel2[[#This Row],[AW 5]]*10+Tabel2[[#This Row],[BONUS 5]]</f>
        <v>0</v>
      </c>
      <c r="AS77">
        <v>1</v>
      </c>
      <c r="AW77" s="23">
        <f>SUM(Tabel2[[#This Row],[V 6]]*10+Tabel2[[#This Row],[GT 6]])/Tabel2[[#This Row],[AW 6]]*10+Tabel2[[#This Row],[BONUS 6]]</f>
        <v>0</v>
      </c>
      <c r="AY77">
        <v>1</v>
      </c>
      <c r="BC77" s="23">
        <f>SUM(Tabel2[[#This Row],[V 7]]*10+Tabel2[[#This Row],[GT 7]])/Tabel2[[#This Row],[AW 7]]*10+Tabel2[[#This Row],[BONUS 7]]</f>
        <v>0</v>
      </c>
      <c r="BE77">
        <v>1</v>
      </c>
      <c r="BI77" s="23">
        <f>SUM(Tabel2[[#This Row],[V 8]]*10+Tabel2[[#This Row],[GT 8]])/Tabel2[[#This Row],[AW 8]]*10+Tabel2[[#This Row],[BONUS 8]]</f>
        <v>0</v>
      </c>
      <c r="BK77">
        <v>1</v>
      </c>
      <c r="BO77" s="23">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77" s="22">
        <v>1000</v>
      </c>
      <c r="BX77" s="30">
        <f>Tabel2[[#This Row],[Diploma]]-Tabel2[[#This Row],[Uitgeschreven]]</f>
        <v>0</v>
      </c>
      <c r="BY77" s="2" t="str">
        <f t="shared" si="8"/>
        <v>geen actie</v>
      </c>
      <c r="CA77" s="150">
        <f>Tabel2[[#This Row],[pnt t/m 2021/22]]</f>
        <v>1150.1324786324785</v>
      </c>
      <c r="CB77" s="150">
        <f>Tabel2[[#This Row],[pnt 2022/2023]]</f>
        <v>113.33333333333334</v>
      </c>
      <c r="CC77" s="150">
        <f t="shared" si="14"/>
        <v>1263.4658119658118</v>
      </c>
      <c r="CD77" s="150">
        <f>IF(Tabel2[[#This Row],[LPR 1]]&gt;0,1,0)</f>
        <v>1</v>
      </c>
      <c r="CE77" s="150">
        <f>IF(Tabel2[[#This Row],[LPR 2]]&gt;0,1,0)</f>
        <v>0</v>
      </c>
      <c r="CF77" s="150">
        <f>IF(Tabel2[[#This Row],[LPR 3]]&gt;0,1,0)</f>
        <v>0</v>
      </c>
      <c r="CG77" s="150">
        <f>IF(Tabel2[[#This Row],[LPR 4]]&gt;0,1,0)</f>
        <v>0</v>
      </c>
      <c r="CH77" s="150">
        <f>IF(Tabel2[[#This Row],[LPR 5]]&gt;0,1,0)</f>
        <v>0</v>
      </c>
      <c r="CI77" s="150">
        <f>IF(Tabel2[[#This Row],[LPR 6]]&gt;0,1,0)</f>
        <v>0</v>
      </c>
      <c r="CJ77" s="150">
        <f>IF(Tabel2[[#This Row],[LPR 7]]&gt;0,1,0)</f>
        <v>0</v>
      </c>
      <c r="CK77" s="150">
        <f>IF(Tabel2[[#This Row],[LPR 8]]&gt;0,1,0)</f>
        <v>0</v>
      </c>
      <c r="CL77" s="150">
        <f>IF(Tabel2[[#This Row],[LPR 9]]&gt;0,1,0)</f>
        <v>0</v>
      </c>
      <c r="CM77" s="150">
        <f>IF(Tabel2[[#This Row],[LPR 10]]&gt;0,1,0)</f>
        <v>0</v>
      </c>
      <c r="CN77" s="150">
        <f>SUM(Tabel7[[#This Row],[sep]:[jun]])</f>
        <v>1</v>
      </c>
      <c r="CO77" s="22" t="str">
        <f t="shared" si="9"/>
        <v/>
      </c>
      <c r="CP77" s="22" t="str">
        <f t="shared" si="10"/>
        <v/>
      </c>
      <c r="CQ77" s="22" t="str">
        <f t="shared" si="11"/>
        <v/>
      </c>
      <c r="CR77" s="22" t="str">
        <f t="shared" si="12"/>
        <v/>
      </c>
      <c r="CS77" s="22" t="str">
        <f t="shared" si="13"/>
        <v/>
      </c>
    </row>
    <row r="78" spans="1:97" x14ac:dyDescent="0.3">
      <c r="A78" s="22" t="s">
        <v>156</v>
      </c>
      <c r="B78" s="22" t="s">
        <v>157</v>
      </c>
      <c r="D78" s="22" t="s">
        <v>163</v>
      </c>
      <c r="E78" t="s">
        <v>258</v>
      </c>
      <c r="F78" s="22">
        <v>118238</v>
      </c>
      <c r="G78" s="25" t="s">
        <v>206</v>
      </c>
      <c r="H78" s="142">
        <f>Tabel2[[#This Row],[pnt t/m 2021/22]]+Tabel2[[#This Row],[pnt 2022/2023]]</f>
        <v>674.27777777777783</v>
      </c>
      <c r="I78">
        <v>2009</v>
      </c>
      <c r="J78">
        <v>2022</v>
      </c>
      <c r="K78" s="24">
        <f>Tabel2[[#This Row],[ijkdatum]]-Tabel2[[#This Row],[Geboren]]</f>
        <v>13</v>
      </c>
      <c r="L78" s="26">
        <f>Tabel2[[#This Row],[TTL 1]]+Tabel2[[#This Row],[TTL 2]]+Tabel2[[#This Row],[TTL 3]]+Tabel2[[#This Row],[TTL 4]]+Tabel2[[#This Row],[TTL 5]]+Tabel2[[#This Row],[TTL 6]]+Tabel2[[#This Row],[TTL 7]]+Tabel2[[#This Row],[TTL 8]]+Tabel2[[#This Row],[TTL 9]]+Tabel2[[#This Row],[TTL 10]]</f>
        <v>0</v>
      </c>
      <c r="M78" s="153">
        <v>674.27777777777783</v>
      </c>
      <c r="O78">
        <v>1</v>
      </c>
      <c r="S78" s="23">
        <f>SUM(Tabel2[[#This Row],[V 1]]*10+Tabel2[[#This Row],[GT 1]])/Tabel2[[#This Row],[AW 1]]*10+Tabel2[[#This Row],[BONUS 1]]</f>
        <v>0</v>
      </c>
      <c r="U78">
        <v>1</v>
      </c>
      <c r="Y78" s="23">
        <f>SUM(Tabel2[[#This Row],[V 2]]*10+Tabel2[[#This Row],[GT 2]])/Tabel2[[#This Row],[AW 2]]*10+Tabel2[[#This Row],[BONUS 2]]</f>
        <v>0</v>
      </c>
      <c r="AA78">
        <v>1</v>
      </c>
      <c r="AE78" s="23">
        <f>SUM(Tabel2[[#This Row],[V 3]]*10+Tabel2[[#This Row],[GT 3]])/Tabel2[[#This Row],[AW 3]]*10+Tabel2[[#This Row],[BONUS 3]]</f>
        <v>0</v>
      </c>
      <c r="AG78">
        <v>1</v>
      </c>
      <c r="AK78" s="23">
        <f>SUM(Tabel2[[#This Row],[V 4]]*10+Tabel2[[#This Row],[GT 4]])/Tabel2[[#This Row],[AW 4]]*10+Tabel2[[#This Row],[BONUS 4]]</f>
        <v>0</v>
      </c>
      <c r="AM78">
        <v>1</v>
      </c>
      <c r="AQ78" s="23">
        <f>SUM(Tabel2[[#This Row],[V 5]]*10+Tabel2[[#This Row],[GT 5]])/Tabel2[[#This Row],[AW 5]]*10+Tabel2[[#This Row],[BONUS 5]]</f>
        <v>0</v>
      </c>
      <c r="AS78">
        <v>1</v>
      </c>
      <c r="AW78" s="23">
        <f>SUM(Tabel2[[#This Row],[V 6]]*10+Tabel2[[#This Row],[GT 6]])/Tabel2[[#This Row],[AW 6]]*10+Tabel2[[#This Row],[BONUS 6]]</f>
        <v>0</v>
      </c>
      <c r="AY78">
        <v>1</v>
      </c>
      <c r="BC78" s="23">
        <f>SUM(Tabel2[[#This Row],[V 7]]*10+Tabel2[[#This Row],[GT 7]])/Tabel2[[#This Row],[AW 7]]*10+Tabel2[[#This Row],[BONUS 7]]</f>
        <v>0</v>
      </c>
      <c r="BE78">
        <v>1</v>
      </c>
      <c r="BI78" s="23">
        <f>SUM(Tabel2[[#This Row],[V 8]]*10+Tabel2[[#This Row],[GT 8]])/Tabel2[[#This Row],[AW 8]]*10+Tabel2[[#This Row],[BONUS 8]]</f>
        <v>0</v>
      </c>
      <c r="BK78">
        <v>1</v>
      </c>
      <c r="BO78" s="23">
        <f>SUM(Tabel2[[#This Row],[V 9]]*10+Tabel2[[#This Row],[GT 9]])/Tabel2[[#This Row],[AW 9]]*10+Tabel2[[#This Row],[BONUS 9]]</f>
        <v>0</v>
      </c>
      <c r="BQ78">
        <v>1</v>
      </c>
      <c r="BU78" s="23">
        <f>SUM(Tabel2[[#This Row],[V 10]]*10+Tabel2[[#This Row],[GT 10]])/Tabel2[[#This Row],[AW 10]]*10+Tabel2[[#This Row],[BONUS 10]]</f>
        <v>0</v>
      </c>
      <c r="BV7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8" s="22">
        <v>500</v>
      </c>
      <c r="BX78" s="30">
        <f>Tabel2[[#This Row],[Diploma]]-Tabel2[[#This Row],[Uitgeschreven]]</f>
        <v>0</v>
      </c>
      <c r="BY78" s="2" t="str">
        <f t="shared" si="8"/>
        <v>geen actie</v>
      </c>
      <c r="CA78" s="150">
        <f>Tabel2[[#This Row],[pnt t/m 2021/22]]</f>
        <v>674.27777777777783</v>
      </c>
      <c r="CB78" s="150">
        <f>Tabel2[[#This Row],[pnt 2022/2023]]</f>
        <v>0</v>
      </c>
      <c r="CC78" s="150">
        <f t="shared" si="14"/>
        <v>674.27777777777783</v>
      </c>
      <c r="CD78" s="150">
        <f>IF(Tabel2[[#This Row],[LPR 1]]&gt;0,1,0)</f>
        <v>0</v>
      </c>
      <c r="CE78" s="150">
        <f>IF(Tabel2[[#This Row],[LPR 2]]&gt;0,1,0)</f>
        <v>0</v>
      </c>
      <c r="CF78" s="150">
        <f>IF(Tabel2[[#This Row],[LPR 3]]&gt;0,1,0)</f>
        <v>0</v>
      </c>
      <c r="CG78" s="150">
        <f>IF(Tabel2[[#This Row],[LPR 4]]&gt;0,1,0)</f>
        <v>0</v>
      </c>
      <c r="CH78" s="150">
        <f>IF(Tabel2[[#This Row],[LPR 5]]&gt;0,1,0)</f>
        <v>0</v>
      </c>
      <c r="CI78" s="150">
        <f>IF(Tabel2[[#This Row],[LPR 6]]&gt;0,1,0)</f>
        <v>0</v>
      </c>
      <c r="CJ78" s="150">
        <f>IF(Tabel2[[#This Row],[LPR 7]]&gt;0,1,0)</f>
        <v>0</v>
      </c>
      <c r="CK78" s="150">
        <f>IF(Tabel2[[#This Row],[LPR 8]]&gt;0,1,0)</f>
        <v>0</v>
      </c>
      <c r="CL78" s="150">
        <f>IF(Tabel2[[#This Row],[LPR 9]]&gt;0,1,0)</f>
        <v>0</v>
      </c>
      <c r="CM78" s="150">
        <f>IF(Tabel2[[#This Row],[LPR 10]]&gt;0,1,0)</f>
        <v>0</v>
      </c>
      <c r="CN78" s="150">
        <f>SUM(Tabel7[[#This Row],[sep]:[jun]])</f>
        <v>0</v>
      </c>
      <c r="CO78" s="22" t="str">
        <f t="shared" si="9"/>
        <v/>
      </c>
      <c r="CP78" s="22" t="str">
        <f t="shared" si="10"/>
        <v/>
      </c>
      <c r="CQ78" s="22" t="str">
        <f t="shared" si="11"/>
        <v/>
      </c>
      <c r="CR78" s="22" t="str">
        <f t="shared" si="12"/>
        <v/>
      </c>
      <c r="CS78" s="22" t="str">
        <f t="shared" si="13"/>
        <v/>
      </c>
    </row>
    <row r="79" spans="1:97" x14ac:dyDescent="0.3">
      <c r="A79" s="22" t="s">
        <v>156</v>
      </c>
      <c r="B79" s="22" t="s">
        <v>149</v>
      </c>
      <c r="D79" s="22" t="s">
        <v>150</v>
      </c>
      <c r="E79" t="s">
        <v>259</v>
      </c>
      <c r="F79" s="22">
        <v>117395</v>
      </c>
      <c r="G79" s="25" t="s">
        <v>162</v>
      </c>
      <c r="H79" s="142">
        <f>Tabel2[[#This Row],[pnt t/m 2021/22]]+Tabel2[[#This Row],[pnt 2022/2023]]</f>
        <v>2500.0793650793653</v>
      </c>
      <c r="I79">
        <v>2008</v>
      </c>
      <c r="J79">
        <v>2022</v>
      </c>
      <c r="K79" s="24">
        <f>Tabel2[[#This Row],[ijkdatum]]-Tabel2[[#This Row],[Geboren]]</f>
        <v>14</v>
      </c>
      <c r="L79" s="26">
        <f>Tabel2[[#This Row],[TTL 1]]+Tabel2[[#This Row],[TTL 2]]+Tabel2[[#This Row],[TTL 3]]+Tabel2[[#This Row],[TTL 4]]+Tabel2[[#This Row],[TTL 5]]+Tabel2[[#This Row],[TTL 6]]+Tabel2[[#This Row],[TTL 7]]+Tabel2[[#This Row],[TTL 8]]+Tabel2[[#This Row],[TTL 9]]+Tabel2[[#This Row],[TTL 10]]</f>
        <v>225.83333333333334</v>
      </c>
      <c r="M79" s="153">
        <v>2274.2460317460318</v>
      </c>
      <c r="O79">
        <v>1</v>
      </c>
      <c r="S79" s="23">
        <f>SUM(Tabel2[[#This Row],[V 1]]*10+Tabel2[[#This Row],[GT 1]])/Tabel2[[#This Row],[AW 1]]*10+Tabel2[[#This Row],[BONUS 1]]</f>
        <v>0</v>
      </c>
      <c r="T79">
        <v>4</v>
      </c>
      <c r="U79">
        <v>12</v>
      </c>
      <c r="V79">
        <v>8</v>
      </c>
      <c r="W79">
        <v>47</v>
      </c>
      <c r="Y79" s="23">
        <f>SUM(Tabel2[[#This Row],[V 2]]*10+Tabel2[[#This Row],[GT 2]])/Tabel2[[#This Row],[AW 2]]*10+Tabel2[[#This Row],[BONUS 2]]</f>
        <v>105.83333333333334</v>
      </c>
      <c r="Z79">
        <v>5</v>
      </c>
      <c r="AA79">
        <v>8</v>
      </c>
      <c r="AB79">
        <v>6</v>
      </c>
      <c r="AC79">
        <v>36</v>
      </c>
      <c r="AE79" s="23">
        <f>SUM(Tabel2[[#This Row],[V 3]]*10+Tabel2[[#This Row],[GT 3]])/Tabel2[[#This Row],[AW 3]]*10+Tabel2[[#This Row],[BONUS 3]]</f>
        <v>120</v>
      </c>
      <c r="AG79">
        <v>1</v>
      </c>
      <c r="AK79" s="23">
        <f>SUM(Tabel2[[#This Row],[V 4]]*10+Tabel2[[#This Row],[GT 4]])/Tabel2[[#This Row],[AW 4]]*10+Tabel2[[#This Row],[BONUS 4]]</f>
        <v>0</v>
      </c>
      <c r="AM79">
        <v>1</v>
      </c>
      <c r="AQ79" s="23">
        <f>SUM(Tabel2[[#This Row],[V 5]]*10+Tabel2[[#This Row],[GT 5]])/Tabel2[[#This Row],[AW 5]]*10+Tabel2[[#This Row],[BONUS 5]]</f>
        <v>0</v>
      </c>
      <c r="AS79">
        <v>1</v>
      </c>
      <c r="AW79" s="23">
        <f>SUM(Tabel2[[#This Row],[V 6]]*10+Tabel2[[#This Row],[GT 6]])/Tabel2[[#This Row],[AW 6]]*10+Tabel2[[#This Row],[BONUS 6]]</f>
        <v>0</v>
      </c>
      <c r="AY79">
        <v>1</v>
      </c>
      <c r="BC79" s="23">
        <f>SUM(Tabel2[[#This Row],[V 7]]*10+Tabel2[[#This Row],[GT 7]])/Tabel2[[#This Row],[AW 7]]*10+Tabel2[[#This Row],[BONUS 7]]</f>
        <v>0</v>
      </c>
      <c r="BE79">
        <v>1</v>
      </c>
      <c r="BI79" s="23">
        <f>SUM(Tabel2[[#This Row],[V 8]]*10+Tabel2[[#This Row],[GT 8]])/Tabel2[[#This Row],[AW 8]]*10+Tabel2[[#This Row],[BONUS 8]]</f>
        <v>0</v>
      </c>
      <c r="BK79">
        <v>1</v>
      </c>
      <c r="BO79" s="23">
        <f>SUM(Tabel2[[#This Row],[V 9]]*10+Tabel2[[#This Row],[GT 9]])/Tabel2[[#This Row],[AW 9]]*10+Tabel2[[#This Row],[BONUS 9]]</f>
        <v>0</v>
      </c>
      <c r="BQ79">
        <v>1</v>
      </c>
      <c r="BU79" s="23">
        <f>SUM(Tabel2[[#This Row],[V 10]]*10+Tabel2[[#This Row],[GT 10]])/Tabel2[[#This Row],[AW 10]]*10+Tabel2[[#This Row],[BONUS 10]]</f>
        <v>0</v>
      </c>
      <c r="BV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79" s="22">
        <v>2000</v>
      </c>
      <c r="BX79" s="30">
        <f>Tabel2[[#This Row],[Diploma]]-Tabel2[[#This Row],[Uitgeschreven]]</f>
        <v>500</v>
      </c>
      <c r="BY79" s="2" t="str">
        <f t="shared" si="8"/>
        <v>diploma uitschrijven: 2500 punten</v>
      </c>
      <c r="CA79" s="150">
        <f>Tabel2[[#This Row],[pnt t/m 2021/22]]</f>
        <v>2274.2460317460318</v>
      </c>
      <c r="CB79" s="150">
        <f>Tabel2[[#This Row],[pnt 2022/2023]]</f>
        <v>225.83333333333334</v>
      </c>
      <c r="CC79" s="150">
        <f t="shared" si="14"/>
        <v>2500.0793650793653</v>
      </c>
      <c r="CD79" s="150">
        <f>IF(Tabel2[[#This Row],[LPR 1]]&gt;0,1,0)</f>
        <v>0</v>
      </c>
      <c r="CE79" s="150">
        <f>IF(Tabel2[[#This Row],[LPR 2]]&gt;0,1,0)</f>
        <v>1</v>
      </c>
      <c r="CF79" s="150">
        <f>IF(Tabel2[[#This Row],[LPR 3]]&gt;0,1,0)</f>
        <v>1</v>
      </c>
      <c r="CG79" s="150">
        <f>IF(Tabel2[[#This Row],[LPR 4]]&gt;0,1,0)</f>
        <v>0</v>
      </c>
      <c r="CH79" s="150">
        <f>IF(Tabel2[[#This Row],[LPR 5]]&gt;0,1,0)</f>
        <v>0</v>
      </c>
      <c r="CI79" s="150">
        <f>IF(Tabel2[[#This Row],[LPR 6]]&gt;0,1,0)</f>
        <v>0</v>
      </c>
      <c r="CJ79" s="150">
        <f>IF(Tabel2[[#This Row],[LPR 7]]&gt;0,1,0)</f>
        <v>0</v>
      </c>
      <c r="CK79" s="150">
        <f>IF(Tabel2[[#This Row],[LPR 8]]&gt;0,1,0)</f>
        <v>0</v>
      </c>
      <c r="CL79" s="150">
        <f>IF(Tabel2[[#This Row],[LPR 9]]&gt;0,1,0)</f>
        <v>0</v>
      </c>
      <c r="CM79" s="150">
        <f>IF(Tabel2[[#This Row],[LPR 10]]&gt;0,1,0)</f>
        <v>0</v>
      </c>
      <c r="CN79" s="150">
        <f>SUM(Tabel7[[#This Row],[sep]:[jun]])</f>
        <v>2</v>
      </c>
      <c r="CO79" s="22" t="str">
        <f t="shared" si="9"/>
        <v/>
      </c>
      <c r="CP79" s="22" t="str">
        <f t="shared" si="10"/>
        <v/>
      </c>
      <c r="CQ79" s="22" t="str">
        <f t="shared" si="11"/>
        <v/>
      </c>
      <c r="CR79" s="22" t="str">
        <f t="shared" si="12"/>
        <v>x</v>
      </c>
      <c r="CS79" s="22" t="str">
        <f t="shared" si="13"/>
        <v/>
      </c>
    </row>
    <row r="80" spans="1:97" x14ac:dyDescent="0.3">
      <c r="A80" s="22" t="s">
        <v>148</v>
      </c>
      <c r="B80" s="22" t="s">
        <v>149</v>
      </c>
      <c r="D80" s="22" t="s">
        <v>150</v>
      </c>
      <c r="E80" t="s">
        <v>260</v>
      </c>
      <c r="F80" s="22">
        <v>119696</v>
      </c>
      <c r="G80" s="25" t="s">
        <v>169</v>
      </c>
      <c r="H80" s="142">
        <f>Tabel2[[#This Row],[pnt t/m 2021/22]]+Tabel2[[#This Row],[pnt 2022/2023]]</f>
        <v>1104.9789377289378</v>
      </c>
      <c r="I80">
        <v>2008</v>
      </c>
      <c r="J80">
        <v>2022</v>
      </c>
      <c r="K80" s="24">
        <f>Tabel2[[#This Row],[ijkdatum]]-Tabel2[[#This Row],[Geboren]]</f>
        <v>14</v>
      </c>
      <c r="L80" s="26">
        <f>Tabel2[[#This Row],[TTL 1]]+Tabel2[[#This Row],[TTL 2]]+Tabel2[[#This Row],[TTL 3]]+Tabel2[[#This Row],[TTL 4]]+Tabel2[[#This Row],[TTL 5]]+Tabel2[[#This Row],[TTL 6]]+Tabel2[[#This Row],[TTL 7]]+Tabel2[[#This Row],[TTL 8]]+Tabel2[[#This Row],[TTL 9]]+Tabel2[[#This Row],[TTL 10]]</f>
        <v>324.75</v>
      </c>
      <c r="M80" s="141">
        <v>780.22893772893781</v>
      </c>
      <c r="N80">
        <v>1</v>
      </c>
      <c r="O80">
        <v>10</v>
      </c>
      <c r="P80">
        <v>4</v>
      </c>
      <c r="Q80">
        <v>41</v>
      </c>
      <c r="S80" s="23">
        <f>SUM(Tabel2[[#This Row],[V 1]]*10+Tabel2[[#This Row],[GT 1]])/Tabel2[[#This Row],[AW 1]]*10+Tabel2[[#This Row],[BONUS 1]]</f>
        <v>81</v>
      </c>
      <c r="T80">
        <v>1</v>
      </c>
      <c r="U80">
        <v>1</v>
      </c>
      <c r="X80">
        <v>150</v>
      </c>
      <c r="Y80" s="23">
        <f>SUM(Tabel2[[#This Row],[V 2]]*10+Tabel2[[#This Row],[GT 2]])/Tabel2[[#This Row],[AW 2]]*10+Tabel2[[#This Row],[BONUS 2]]</f>
        <v>150</v>
      </c>
      <c r="Z80">
        <v>1</v>
      </c>
      <c r="AA80">
        <v>8</v>
      </c>
      <c r="AB80">
        <v>4</v>
      </c>
      <c r="AC80">
        <v>35</v>
      </c>
      <c r="AE80" s="23">
        <f>SUM(Tabel2[[#This Row],[V 3]]*10+Tabel2[[#This Row],[GT 3]])/Tabel2[[#This Row],[AW 3]]*10+Tabel2[[#This Row],[BONUS 3]]</f>
        <v>93.75</v>
      </c>
      <c r="AG80">
        <v>1</v>
      </c>
      <c r="AK80" s="23">
        <f>SUM(Tabel2[[#This Row],[V 4]]*10+Tabel2[[#This Row],[GT 4]])/Tabel2[[#This Row],[AW 4]]*10+Tabel2[[#This Row],[BONUS 4]]</f>
        <v>0</v>
      </c>
      <c r="AM80">
        <v>1</v>
      </c>
      <c r="AQ80" s="23">
        <f>SUM(Tabel2[[#This Row],[V 5]]*10+Tabel2[[#This Row],[GT 5]])/Tabel2[[#This Row],[AW 5]]*10+Tabel2[[#This Row],[BONUS 5]]</f>
        <v>0</v>
      </c>
      <c r="AS80">
        <v>1</v>
      </c>
      <c r="AW80" s="23">
        <f>SUM(Tabel2[[#This Row],[V 6]]*10+Tabel2[[#This Row],[GT 6]])/Tabel2[[#This Row],[AW 6]]*10+Tabel2[[#This Row],[BONUS 6]]</f>
        <v>0</v>
      </c>
      <c r="AY80">
        <v>1</v>
      </c>
      <c r="BC80" s="23">
        <f>SUM(Tabel2[[#This Row],[V 7]]*10+Tabel2[[#This Row],[GT 7]])/Tabel2[[#This Row],[AW 7]]*10+Tabel2[[#This Row],[BONUS 7]]</f>
        <v>0</v>
      </c>
      <c r="BE80">
        <v>1</v>
      </c>
      <c r="BI80" s="23">
        <f>SUM(Tabel2[[#This Row],[V 8]]*10+Tabel2[[#This Row],[GT 8]])/Tabel2[[#This Row],[AW 8]]*10+Tabel2[[#This Row],[BONUS 8]]</f>
        <v>0</v>
      </c>
      <c r="BK80">
        <v>1</v>
      </c>
      <c r="BO80" s="23">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80" s="22">
        <v>1000</v>
      </c>
      <c r="BX80" s="30">
        <f>Tabel2[[#This Row],[Diploma]]-Tabel2[[#This Row],[Uitgeschreven]]</f>
        <v>0</v>
      </c>
      <c r="BY80" s="2" t="str">
        <f t="shared" si="8"/>
        <v>geen actie</v>
      </c>
      <c r="CA80" s="150">
        <f>Tabel2[[#This Row],[pnt t/m 2021/22]]</f>
        <v>780.22893772893781</v>
      </c>
      <c r="CB80" s="150">
        <f>Tabel2[[#This Row],[pnt 2022/2023]]</f>
        <v>324.75</v>
      </c>
      <c r="CC80" s="150">
        <f t="shared" si="14"/>
        <v>1104.9789377289378</v>
      </c>
      <c r="CD80" s="150">
        <f>IF(Tabel2[[#This Row],[LPR 1]]&gt;0,1,0)</f>
        <v>1</v>
      </c>
      <c r="CE80" s="150">
        <f>IF(Tabel2[[#This Row],[LPR 2]]&gt;0,1,0)</f>
        <v>1</v>
      </c>
      <c r="CF80" s="150">
        <f>IF(Tabel2[[#This Row],[LPR 3]]&gt;0,1,0)</f>
        <v>1</v>
      </c>
      <c r="CG80" s="150">
        <f>IF(Tabel2[[#This Row],[LPR 4]]&gt;0,1,0)</f>
        <v>0</v>
      </c>
      <c r="CH80" s="150">
        <f>IF(Tabel2[[#This Row],[LPR 5]]&gt;0,1,0)</f>
        <v>0</v>
      </c>
      <c r="CI80" s="150">
        <f>IF(Tabel2[[#This Row],[LPR 6]]&gt;0,1,0)</f>
        <v>0</v>
      </c>
      <c r="CJ80" s="150">
        <f>IF(Tabel2[[#This Row],[LPR 7]]&gt;0,1,0)</f>
        <v>0</v>
      </c>
      <c r="CK80" s="150">
        <f>IF(Tabel2[[#This Row],[LPR 8]]&gt;0,1,0)</f>
        <v>0</v>
      </c>
      <c r="CL80" s="150">
        <f>IF(Tabel2[[#This Row],[LPR 9]]&gt;0,1,0)</f>
        <v>0</v>
      </c>
      <c r="CM80" s="150">
        <f>IF(Tabel2[[#This Row],[LPR 10]]&gt;0,1,0)</f>
        <v>0</v>
      </c>
      <c r="CN80" s="150">
        <f>SUM(Tabel7[[#This Row],[sep]:[jun]])</f>
        <v>3</v>
      </c>
      <c r="CO80" s="22" t="str">
        <f t="shared" si="9"/>
        <v>x</v>
      </c>
      <c r="CP80" s="22" t="str">
        <f t="shared" si="10"/>
        <v/>
      </c>
      <c r="CQ80" s="22" t="str">
        <f t="shared" si="11"/>
        <v/>
      </c>
      <c r="CR80" s="22" t="str">
        <f t="shared" si="12"/>
        <v/>
      </c>
      <c r="CS80" s="22" t="str">
        <f t="shared" si="13"/>
        <v/>
      </c>
    </row>
    <row r="81" spans="1:97" x14ac:dyDescent="0.3">
      <c r="A81" s="22" t="s">
        <v>156</v>
      </c>
      <c r="B81" s="22" t="s">
        <v>149</v>
      </c>
      <c r="D81" s="22" t="s">
        <v>160</v>
      </c>
      <c r="E81" t="s">
        <v>261</v>
      </c>
      <c r="F81" s="22">
        <v>119972</v>
      </c>
      <c r="G81" s="25" t="s">
        <v>171</v>
      </c>
      <c r="H81" s="23">
        <f>Tabel2[[#This Row],[pnt t/m 2021/22]]+Tabel2[[#This Row],[pnt 2022/2023]]</f>
        <v>151.66666666666666</v>
      </c>
      <c r="I81">
        <v>2011</v>
      </c>
      <c r="J81">
        <v>2022</v>
      </c>
      <c r="K81" s="24">
        <f>Tabel2[[#This Row],[ijkdatum]]-Tabel2[[#This Row],[Geboren]]</f>
        <v>11</v>
      </c>
      <c r="L81" s="26">
        <f>Tabel2[[#This Row],[TTL 1]]+Tabel2[[#This Row],[TTL 2]]+Tabel2[[#This Row],[TTL 3]]+Tabel2[[#This Row],[TTL 4]]+Tabel2[[#This Row],[TTL 5]]+Tabel2[[#This Row],[TTL 6]]+Tabel2[[#This Row],[TTL 7]]+Tabel2[[#This Row],[TTL 8]]+Tabel2[[#This Row],[TTL 9]]+Tabel2[[#This Row],[TTL 10]]</f>
        <v>81.666666666666657</v>
      </c>
      <c r="M81" s="153">
        <v>70</v>
      </c>
      <c r="O81">
        <v>1</v>
      </c>
      <c r="S81" s="153">
        <f>SUM(Tabel2[[#This Row],[V 1]]*10+Tabel2[[#This Row],[GT 1]])/Tabel2[[#This Row],[AW 1]]*10+Tabel2[[#This Row],[BONUS 1]]</f>
        <v>0</v>
      </c>
      <c r="U81">
        <v>1</v>
      </c>
      <c r="Y81" s="23">
        <f>SUM(Tabel2[[#This Row],[V 2]]*10+Tabel2[[#This Row],[GT 2]])/Tabel2[[#This Row],[AW 2]]*10+Tabel2[[#This Row],[BONUS 2]]</f>
        <v>0</v>
      </c>
      <c r="Z81">
        <v>6</v>
      </c>
      <c r="AA81">
        <v>6</v>
      </c>
      <c r="AB81">
        <v>3</v>
      </c>
      <c r="AC81">
        <v>19</v>
      </c>
      <c r="AE81" s="23">
        <f>SUM(Tabel2[[#This Row],[V 3]]*10+Tabel2[[#This Row],[GT 3]])/Tabel2[[#This Row],[AW 3]]*10+Tabel2[[#This Row],[BONUS 3]]</f>
        <v>81.666666666666657</v>
      </c>
      <c r="AG81">
        <v>1</v>
      </c>
      <c r="AK81" s="23">
        <f>SUM(Tabel2[[#This Row],[V 4]]*10+Tabel2[[#This Row],[GT 4]])/Tabel2[[#This Row],[AW 4]]*10+Tabel2[[#This Row],[BONUS 4]]</f>
        <v>0</v>
      </c>
      <c r="AM81">
        <v>1</v>
      </c>
      <c r="AQ81" s="23">
        <f>SUM(Tabel2[[#This Row],[V 5]]*10+Tabel2[[#This Row],[GT 5]])/Tabel2[[#This Row],[AW 5]]*10+Tabel2[[#This Row],[BONUS 5]]</f>
        <v>0</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1" s="22">
        <v>0</v>
      </c>
      <c r="BX81" s="22">
        <f>Tabel2[[#This Row],[Diploma]]-Tabel2[[#This Row],[Uitgeschreven]]</f>
        <v>0</v>
      </c>
      <c r="BY81" s="155" t="str">
        <f t="shared" si="8"/>
        <v>geen actie</v>
      </c>
      <c r="CA81" s="150">
        <f>Tabel2[[#This Row],[pnt t/m 2021/22]]</f>
        <v>70</v>
      </c>
      <c r="CB81" s="150">
        <f>Tabel2[[#This Row],[pnt 2022/2023]]</f>
        <v>81.666666666666657</v>
      </c>
      <c r="CC81" s="150">
        <f t="shared" si="14"/>
        <v>151.66666666666666</v>
      </c>
      <c r="CD81" s="150">
        <f>IF(Tabel2[[#This Row],[LPR 1]]&gt;0,1,0)</f>
        <v>0</v>
      </c>
      <c r="CE81" s="150">
        <f>IF(Tabel2[[#This Row],[LPR 2]]&gt;0,1,0)</f>
        <v>0</v>
      </c>
      <c r="CF81" s="150">
        <f>IF(Tabel2[[#This Row],[LPR 3]]&gt;0,1,0)</f>
        <v>1</v>
      </c>
      <c r="CG81" s="150">
        <f>IF(Tabel2[[#This Row],[LPR 4]]&gt;0,1,0)</f>
        <v>0</v>
      </c>
      <c r="CH81" s="150">
        <f>IF(Tabel2[[#This Row],[LPR 5]]&gt;0,1,0)</f>
        <v>0</v>
      </c>
      <c r="CI81" s="150">
        <f>IF(Tabel2[[#This Row],[LPR 6]]&gt;0,1,0)</f>
        <v>0</v>
      </c>
      <c r="CJ81" s="150">
        <f>IF(Tabel2[[#This Row],[LPR 7]]&gt;0,1,0)</f>
        <v>0</v>
      </c>
      <c r="CK81" s="150">
        <f>IF(Tabel2[[#This Row],[LPR 8]]&gt;0,1,0)</f>
        <v>0</v>
      </c>
      <c r="CL81" s="150">
        <f>IF(Tabel2[[#This Row],[LPR 9]]&gt;0,1,0)</f>
        <v>0</v>
      </c>
      <c r="CM81" s="150">
        <f>IF(Tabel2[[#This Row],[LPR 10]]&gt;0,1,0)</f>
        <v>0</v>
      </c>
      <c r="CN81" s="150">
        <f>SUM(Tabel7[[#This Row],[sep]:[jun]])</f>
        <v>1</v>
      </c>
      <c r="CO81" s="22" t="str">
        <f t="shared" si="9"/>
        <v/>
      </c>
      <c r="CP81" s="22" t="str">
        <f t="shared" si="10"/>
        <v/>
      </c>
      <c r="CQ81" s="22" t="str">
        <f t="shared" si="11"/>
        <v/>
      </c>
      <c r="CR81" s="22" t="str">
        <f t="shared" si="12"/>
        <v/>
      </c>
      <c r="CS81" s="22" t="str">
        <f t="shared" si="13"/>
        <v/>
      </c>
    </row>
    <row r="82" spans="1:97" x14ac:dyDescent="0.3">
      <c r="A82" s="22" t="s">
        <v>153</v>
      </c>
      <c r="B82" s="22" t="s">
        <v>149</v>
      </c>
      <c r="D82" s="22" t="s">
        <v>163</v>
      </c>
      <c r="E82" t="s">
        <v>262</v>
      </c>
      <c r="F82" s="22">
        <v>120096</v>
      </c>
      <c r="G82" s="25" t="s">
        <v>263</v>
      </c>
      <c r="H82" s="142">
        <f>Tabel2[[#This Row],[pnt t/m 2021/22]]+Tabel2[[#This Row],[pnt 2022/2023]]</f>
        <v>465.09523809523807</v>
      </c>
      <c r="I82">
        <v>2011</v>
      </c>
      <c r="J82">
        <v>2022</v>
      </c>
      <c r="K82" s="24">
        <f>Tabel2[[#This Row],[ijkdatum]]-Tabel2[[#This Row],[Geboren]]</f>
        <v>11</v>
      </c>
      <c r="L82" s="26">
        <f>Tabel2[[#This Row],[TTL 1]]+Tabel2[[#This Row],[TTL 2]]+Tabel2[[#This Row],[TTL 3]]+Tabel2[[#This Row],[TTL 4]]+Tabel2[[#This Row],[TTL 5]]+Tabel2[[#This Row],[TTL 6]]+Tabel2[[#This Row],[TTL 7]]+Tabel2[[#This Row],[TTL 8]]+Tabel2[[#This Row],[TTL 9]]+Tabel2[[#This Row],[TTL 10]]</f>
        <v>0</v>
      </c>
      <c r="M82" s="141">
        <v>465.09523809523807</v>
      </c>
      <c r="O82">
        <v>1</v>
      </c>
      <c r="S82" s="23">
        <f>SUM(Tabel2[[#This Row],[V 1]]*10+Tabel2[[#This Row],[GT 1]])/Tabel2[[#This Row],[AW 1]]*10+Tabel2[[#This Row],[BONUS 1]]</f>
        <v>0</v>
      </c>
      <c r="U82">
        <v>1</v>
      </c>
      <c r="Y82" s="23">
        <f>SUM(Tabel2[[#This Row],[V 2]]*10+Tabel2[[#This Row],[GT 2]])/Tabel2[[#This Row],[AW 2]]*10+Tabel2[[#This Row],[BONUS 2]]</f>
        <v>0</v>
      </c>
      <c r="AA82">
        <v>1</v>
      </c>
      <c r="AE82" s="23">
        <f>SUM(Tabel2[[#This Row],[V 3]]*10+Tabel2[[#This Row],[GT 3]])/Tabel2[[#This Row],[AW 3]]*10+Tabel2[[#This Row],[BONUS 3]]</f>
        <v>0</v>
      </c>
      <c r="AG82">
        <v>1</v>
      </c>
      <c r="AK82" s="23">
        <f>SUM(Tabel2[[#This Row],[V 4]]*10+Tabel2[[#This Row],[GT 4]])/Tabel2[[#This Row],[AW 4]]*10+Tabel2[[#This Row],[BONUS 4]]</f>
        <v>0</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2" s="22">
        <v>250</v>
      </c>
      <c r="BX82" s="30">
        <f>Tabel2[[#This Row],[Diploma]]-Tabel2[[#This Row],[Uitgeschreven]]</f>
        <v>0</v>
      </c>
      <c r="BY82" s="2" t="str">
        <f t="shared" si="8"/>
        <v>geen actie</v>
      </c>
      <c r="CA82" s="150">
        <f>Tabel2[[#This Row],[pnt t/m 2021/22]]</f>
        <v>465.09523809523807</v>
      </c>
      <c r="CB82" s="150">
        <f>Tabel2[[#This Row],[pnt 2022/2023]]</f>
        <v>0</v>
      </c>
      <c r="CC82" s="150">
        <f t="shared" si="14"/>
        <v>465.09523809523807</v>
      </c>
      <c r="CD82" s="150">
        <f>IF(Tabel2[[#This Row],[LPR 1]]&gt;0,1,0)</f>
        <v>0</v>
      </c>
      <c r="CE82" s="150">
        <f>IF(Tabel2[[#This Row],[LPR 2]]&gt;0,1,0)</f>
        <v>0</v>
      </c>
      <c r="CF82" s="150">
        <f>IF(Tabel2[[#This Row],[LPR 3]]&gt;0,1,0)</f>
        <v>0</v>
      </c>
      <c r="CG82" s="150">
        <f>IF(Tabel2[[#This Row],[LPR 4]]&gt;0,1,0)</f>
        <v>0</v>
      </c>
      <c r="CH82" s="150">
        <f>IF(Tabel2[[#This Row],[LPR 5]]&gt;0,1,0)</f>
        <v>0</v>
      </c>
      <c r="CI82" s="150">
        <f>IF(Tabel2[[#This Row],[LPR 6]]&gt;0,1,0)</f>
        <v>0</v>
      </c>
      <c r="CJ82" s="150">
        <f>IF(Tabel2[[#This Row],[LPR 7]]&gt;0,1,0)</f>
        <v>0</v>
      </c>
      <c r="CK82" s="150">
        <f>IF(Tabel2[[#This Row],[LPR 8]]&gt;0,1,0)</f>
        <v>0</v>
      </c>
      <c r="CL82" s="150">
        <f>IF(Tabel2[[#This Row],[LPR 9]]&gt;0,1,0)</f>
        <v>0</v>
      </c>
      <c r="CM82" s="150">
        <f>IF(Tabel2[[#This Row],[LPR 10]]&gt;0,1,0)</f>
        <v>0</v>
      </c>
      <c r="CN82" s="150">
        <f>SUM(Tabel7[[#This Row],[sep]:[jun]])</f>
        <v>0</v>
      </c>
      <c r="CO82" s="22" t="str">
        <f t="shared" si="9"/>
        <v/>
      </c>
      <c r="CP82" s="22" t="str">
        <f t="shared" si="10"/>
        <v/>
      </c>
      <c r="CQ82" s="22" t="str">
        <f t="shared" si="11"/>
        <v/>
      </c>
      <c r="CR82" s="22" t="str">
        <f t="shared" si="12"/>
        <v/>
      </c>
      <c r="CS82" s="22" t="str">
        <f t="shared" si="13"/>
        <v/>
      </c>
    </row>
    <row r="83" spans="1:97" x14ac:dyDescent="0.3">
      <c r="A83" s="22" t="s">
        <v>153</v>
      </c>
      <c r="B83" s="22" t="s">
        <v>149</v>
      </c>
      <c r="D83" s="22" t="s">
        <v>160</v>
      </c>
      <c r="E83" t="s">
        <v>264</v>
      </c>
      <c r="F83" s="22">
        <v>120765</v>
      </c>
      <c r="G83" s="25" t="s">
        <v>162</v>
      </c>
      <c r="H83" s="142">
        <f>Tabel2[[#This Row],[pnt t/m 2021/22]]+Tabel2[[#This Row],[pnt 2022/2023]]</f>
        <v>225.95238095238093</v>
      </c>
      <c r="I83">
        <v>2012</v>
      </c>
      <c r="J83">
        <v>2023</v>
      </c>
      <c r="K83" s="24">
        <f>Tabel2[[#This Row],[ijkdatum]]-Tabel2[[#This Row],[Geboren]]</f>
        <v>11</v>
      </c>
      <c r="L83" s="26">
        <f>Tabel2[[#This Row],[TTL 1]]+Tabel2[[#This Row],[TTL 2]]+Tabel2[[#This Row],[TTL 3]]+Tabel2[[#This Row],[TTL 4]]+Tabel2[[#This Row],[TTL 5]]+Tabel2[[#This Row],[TTL 6]]+Tabel2[[#This Row],[TTL 7]]+Tabel2[[#This Row],[TTL 8]]+Tabel2[[#This Row],[TTL 9]]+Tabel2[[#This Row],[TTL 10]]</f>
        <v>225.95238095238093</v>
      </c>
      <c r="M83" s="151"/>
      <c r="O83">
        <v>1</v>
      </c>
      <c r="S83" s="23">
        <f>SUM(Tabel2[[#This Row],[V 1]]*10+Tabel2[[#This Row],[GT 1]])/Tabel2[[#This Row],[AW 1]]*10+Tabel2[[#This Row],[BONUS 1]]</f>
        <v>0</v>
      </c>
      <c r="T83">
        <v>7</v>
      </c>
      <c r="U83">
        <v>7</v>
      </c>
      <c r="V83">
        <v>6</v>
      </c>
      <c r="W83">
        <v>34</v>
      </c>
      <c r="Y83" s="23">
        <f>SUM(Tabel2[[#This Row],[V 2]]*10+Tabel2[[#This Row],[GT 2]])/Tabel2[[#This Row],[AW 2]]*10+Tabel2[[#This Row],[BONUS 2]]</f>
        <v>134.28571428571428</v>
      </c>
      <c r="Z83">
        <v>7</v>
      </c>
      <c r="AA83">
        <v>6</v>
      </c>
      <c r="AB83">
        <v>3</v>
      </c>
      <c r="AC83">
        <v>25</v>
      </c>
      <c r="AE83" s="23">
        <f>SUM(Tabel2[[#This Row],[V 3]]*10+Tabel2[[#This Row],[GT 3]])/Tabel2[[#This Row],[AW 3]]*10+Tabel2[[#This Row],[BONUS 3]]</f>
        <v>91.666666666666657</v>
      </c>
      <c r="AG83">
        <v>1</v>
      </c>
      <c r="AK83" s="23">
        <f>SUM(Tabel2[[#This Row],[V 4]]*10+Tabel2[[#This Row],[GT 4]])/Tabel2[[#This Row],[AW 4]]*10+Tabel2[[#This Row],[BONUS 4]]</f>
        <v>0</v>
      </c>
      <c r="AM83">
        <v>1</v>
      </c>
      <c r="AQ83" s="23">
        <f>SUM(Tabel2[[#This Row],[V 5]]*10+Tabel2[[#This Row],[GT 5]])/Tabel2[[#This Row],[AW 5]]*10+Tabel2[[#This Row],[BONUS 5]]</f>
        <v>0</v>
      </c>
      <c r="AS83">
        <v>1</v>
      </c>
      <c r="AW83" s="23">
        <f>SUM(Tabel2[[#This Row],[V 6]]*10+Tabel2[[#This Row],[GT 6]])/Tabel2[[#This Row],[AW 6]]*10+Tabel2[[#This Row],[BONUS 6]]</f>
        <v>0</v>
      </c>
      <c r="AY83">
        <v>1</v>
      </c>
      <c r="BC83" s="23">
        <f>SUM(Tabel2[[#This Row],[V 7]]*10+Tabel2[[#This Row],[GT 7]])/Tabel2[[#This Row],[AW 7]]*10+Tabel2[[#This Row],[BONUS 7]]</f>
        <v>0</v>
      </c>
      <c r="BE83">
        <v>1</v>
      </c>
      <c r="BI83" s="23">
        <f>SUM(Tabel2[[#This Row],[V 8]]*10+Tabel2[[#This Row],[GT 8]])/Tabel2[[#This Row],[AW 8]]*10+Tabel2[[#This Row],[BONUS 8]]</f>
        <v>0</v>
      </c>
      <c r="BK83">
        <v>1</v>
      </c>
      <c r="BO83" s="23">
        <f>SUM(Tabel2[[#This Row],[V 9]]*10+Tabel2[[#This Row],[GT 9]])/Tabel2[[#This Row],[AW 9]]*10+Tabel2[[#This Row],[BONUS 9]]</f>
        <v>0</v>
      </c>
      <c r="BQ83">
        <v>1</v>
      </c>
      <c r="BU83" s="23">
        <f>SUM(Tabel2[[#This Row],[V 10]]*10+Tabel2[[#This Row],[GT 10]])/Tabel2[[#This Row],[AW 10]]*10+Tabel2[[#This Row],[BONUS 10]]</f>
        <v>0</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3" s="22">
        <v>0</v>
      </c>
      <c r="BX83" s="30">
        <f>Tabel2[[#This Row],[Diploma]]-Tabel2[[#This Row],[Uitgeschreven]]</f>
        <v>0</v>
      </c>
      <c r="BY83" s="2" t="str">
        <f t="shared" si="8"/>
        <v>geen actie</v>
      </c>
      <c r="CA83" s="150">
        <f>Tabel2[[#This Row],[pnt t/m 2021/22]]</f>
        <v>0</v>
      </c>
      <c r="CB83" s="150">
        <f>Tabel2[[#This Row],[pnt 2022/2023]]</f>
        <v>225.95238095238093</v>
      </c>
      <c r="CC83" s="150">
        <f t="shared" si="14"/>
        <v>225.95238095238093</v>
      </c>
      <c r="CD83" s="150">
        <f>IF(Tabel2[[#This Row],[LPR 1]]&gt;0,1,0)</f>
        <v>0</v>
      </c>
      <c r="CE83" s="150">
        <f>IF(Tabel2[[#This Row],[LPR 2]]&gt;0,1,0)</f>
        <v>1</v>
      </c>
      <c r="CF83" s="150">
        <f>IF(Tabel2[[#This Row],[LPR 3]]&gt;0,1,0)</f>
        <v>1</v>
      </c>
      <c r="CG83" s="150">
        <f>IF(Tabel2[[#This Row],[LPR 4]]&gt;0,1,0)</f>
        <v>0</v>
      </c>
      <c r="CH83" s="150">
        <f>IF(Tabel2[[#This Row],[LPR 5]]&gt;0,1,0)</f>
        <v>0</v>
      </c>
      <c r="CI83" s="150">
        <f>IF(Tabel2[[#This Row],[LPR 6]]&gt;0,1,0)</f>
        <v>0</v>
      </c>
      <c r="CJ83" s="150">
        <f>IF(Tabel2[[#This Row],[LPR 7]]&gt;0,1,0)</f>
        <v>0</v>
      </c>
      <c r="CK83" s="150">
        <f>IF(Tabel2[[#This Row],[LPR 8]]&gt;0,1,0)</f>
        <v>0</v>
      </c>
      <c r="CL83" s="150">
        <f>IF(Tabel2[[#This Row],[LPR 9]]&gt;0,1,0)</f>
        <v>0</v>
      </c>
      <c r="CM83" s="150">
        <f>IF(Tabel2[[#This Row],[LPR 10]]&gt;0,1,0)</f>
        <v>0</v>
      </c>
      <c r="CN83" s="150">
        <f>SUM(Tabel7[[#This Row],[sep]:[jun]])</f>
        <v>2</v>
      </c>
      <c r="CO83" s="22" t="str">
        <f t="shared" si="9"/>
        <v/>
      </c>
      <c r="CP83" s="22" t="str">
        <f t="shared" si="10"/>
        <v/>
      </c>
      <c r="CQ83" s="22" t="str">
        <f t="shared" si="11"/>
        <v/>
      </c>
      <c r="CR83" s="22" t="str">
        <f t="shared" si="12"/>
        <v/>
      </c>
      <c r="CS83" s="22" t="str">
        <f t="shared" si="13"/>
        <v/>
      </c>
    </row>
    <row r="84" spans="1:97" x14ac:dyDescent="0.3">
      <c r="A84" s="22" t="s">
        <v>153</v>
      </c>
      <c r="B84" s="22" t="s">
        <v>149</v>
      </c>
      <c r="D84" s="22" t="s">
        <v>163</v>
      </c>
      <c r="E84" t="s">
        <v>265</v>
      </c>
      <c r="F84" s="22">
        <v>120142</v>
      </c>
      <c r="G84" s="25" t="s">
        <v>217</v>
      </c>
      <c r="H84" s="142">
        <f>Tabel2[[#This Row],[pnt t/m 2021/22]]+Tabel2[[#This Row],[pnt 2022/2023]]</f>
        <v>427.17857142857144</v>
      </c>
      <c r="I84">
        <v>2011</v>
      </c>
      <c r="J84">
        <v>2022</v>
      </c>
      <c r="K84" s="24">
        <f>Tabel2[[#This Row],[ijkdatum]]-Tabel2[[#This Row],[Geboren]]</f>
        <v>11</v>
      </c>
      <c r="L84" s="26">
        <f>Tabel2[[#This Row],[TTL 1]]+Tabel2[[#This Row],[TTL 2]]+Tabel2[[#This Row],[TTL 3]]+Tabel2[[#This Row],[TTL 4]]+Tabel2[[#This Row],[TTL 5]]+Tabel2[[#This Row],[TTL 6]]+Tabel2[[#This Row],[TTL 7]]+Tabel2[[#This Row],[TTL 8]]+Tabel2[[#This Row],[TTL 9]]+Tabel2[[#This Row],[TTL 10]]</f>
        <v>0</v>
      </c>
      <c r="M84" s="141">
        <v>427.17857142857144</v>
      </c>
      <c r="O84">
        <v>1</v>
      </c>
      <c r="S84" s="23">
        <f>SUM(Tabel2[[#This Row],[V 1]]*10+Tabel2[[#This Row],[GT 1]])/Tabel2[[#This Row],[AW 1]]*10+Tabel2[[#This Row],[BONUS 1]]</f>
        <v>0</v>
      </c>
      <c r="U84">
        <v>1</v>
      </c>
      <c r="Y84" s="23">
        <f>SUM(Tabel2[[#This Row],[V 2]]*10+Tabel2[[#This Row],[GT 2]])/Tabel2[[#This Row],[AW 2]]*10+Tabel2[[#This Row],[BONUS 2]]</f>
        <v>0</v>
      </c>
      <c r="AA84">
        <v>1</v>
      </c>
      <c r="AE84" s="23">
        <f>SUM(Tabel2[[#This Row],[V 3]]*10+Tabel2[[#This Row],[GT 3]])/Tabel2[[#This Row],[AW 3]]*10+Tabel2[[#This Row],[BONUS 3]]</f>
        <v>0</v>
      </c>
      <c r="AG84">
        <v>1</v>
      </c>
      <c r="AK84" s="23">
        <f>SUM(Tabel2[[#This Row],[V 4]]*10+Tabel2[[#This Row],[GT 4]])/Tabel2[[#This Row],[AW 4]]*10+Tabel2[[#This Row],[BONUS 4]]</f>
        <v>0</v>
      </c>
      <c r="AM84">
        <v>1</v>
      </c>
      <c r="AQ84" s="23">
        <f>SUM(Tabel2[[#This Row],[V 5]]*10+Tabel2[[#This Row],[GT 5]])/Tabel2[[#This Row],[AW 5]]*10+Tabel2[[#This Row],[BONUS 5]]</f>
        <v>0</v>
      </c>
      <c r="AS84">
        <v>1</v>
      </c>
      <c r="AW84" s="23">
        <f>SUM(Tabel2[[#This Row],[V 6]]*10+Tabel2[[#This Row],[GT 6]])/Tabel2[[#This Row],[AW 6]]*10+Tabel2[[#This Row],[BONUS 6]]</f>
        <v>0</v>
      </c>
      <c r="AY84">
        <v>1</v>
      </c>
      <c r="BC84" s="23">
        <f>SUM(Tabel2[[#This Row],[V 7]]*10+Tabel2[[#This Row],[GT 7]])/Tabel2[[#This Row],[AW 7]]*10+Tabel2[[#This Row],[BONUS 7]]</f>
        <v>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4" s="22">
        <v>250</v>
      </c>
      <c r="BX84" s="30">
        <f>Tabel2[[#This Row],[Diploma]]-Tabel2[[#This Row],[Uitgeschreven]]</f>
        <v>0</v>
      </c>
      <c r="BY84" s="2" t="str">
        <f t="shared" si="8"/>
        <v>geen actie</v>
      </c>
      <c r="CA84" s="150">
        <f>Tabel2[[#This Row],[pnt t/m 2021/22]]</f>
        <v>427.17857142857144</v>
      </c>
      <c r="CB84" s="150">
        <f>Tabel2[[#This Row],[pnt 2022/2023]]</f>
        <v>0</v>
      </c>
      <c r="CC84" s="150">
        <f t="shared" si="14"/>
        <v>427.17857142857144</v>
      </c>
      <c r="CD84" s="150">
        <f>IF(Tabel2[[#This Row],[LPR 1]]&gt;0,1,0)</f>
        <v>0</v>
      </c>
      <c r="CE84" s="150">
        <f>IF(Tabel2[[#This Row],[LPR 2]]&gt;0,1,0)</f>
        <v>0</v>
      </c>
      <c r="CF84" s="150">
        <f>IF(Tabel2[[#This Row],[LPR 3]]&gt;0,1,0)</f>
        <v>0</v>
      </c>
      <c r="CG84" s="150">
        <f>IF(Tabel2[[#This Row],[LPR 4]]&gt;0,1,0)</f>
        <v>0</v>
      </c>
      <c r="CH84" s="150">
        <f>IF(Tabel2[[#This Row],[LPR 5]]&gt;0,1,0)</f>
        <v>0</v>
      </c>
      <c r="CI84" s="150">
        <f>IF(Tabel2[[#This Row],[LPR 6]]&gt;0,1,0)</f>
        <v>0</v>
      </c>
      <c r="CJ84" s="150">
        <f>IF(Tabel2[[#This Row],[LPR 7]]&gt;0,1,0)</f>
        <v>0</v>
      </c>
      <c r="CK84" s="150">
        <f>IF(Tabel2[[#This Row],[LPR 8]]&gt;0,1,0)</f>
        <v>0</v>
      </c>
      <c r="CL84" s="150">
        <f>IF(Tabel2[[#This Row],[LPR 9]]&gt;0,1,0)</f>
        <v>0</v>
      </c>
      <c r="CM84" s="150">
        <f>IF(Tabel2[[#This Row],[LPR 10]]&gt;0,1,0)</f>
        <v>0</v>
      </c>
      <c r="CN84" s="150">
        <f>SUM(Tabel7[[#This Row],[sep]:[jun]])</f>
        <v>0</v>
      </c>
      <c r="CO84" s="22" t="str">
        <f t="shared" si="9"/>
        <v/>
      </c>
      <c r="CP84" s="22" t="str">
        <f t="shared" si="10"/>
        <v/>
      </c>
      <c r="CQ84" s="22" t="str">
        <f t="shared" si="11"/>
        <v/>
      </c>
      <c r="CR84" s="22" t="str">
        <f t="shared" si="12"/>
        <v/>
      </c>
      <c r="CS84" s="22" t="str">
        <f t="shared" si="13"/>
        <v/>
      </c>
    </row>
    <row r="85" spans="1:97" x14ac:dyDescent="0.3">
      <c r="A85" s="22" t="s">
        <v>153</v>
      </c>
      <c r="B85" s="22" t="s">
        <v>157</v>
      </c>
      <c r="D85" s="22" t="s">
        <v>163</v>
      </c>
      <c r="E85" t="s">
        <v>266</v>
      </c>
      <c r="F85" s="22">
        <v>119751</v>
      </c>
      <c r="G85" s="25" t="s">
        <v>162</v>
      </c>
      <c r="H85" s="142">
        <f>Tabel2[[#This Row],[pnt t/m 2021/22]]+Tabel2[[#This Row],[pnt 2022/2023]]</f>
        <v>865.56929181929172</v>
      </c>
      <c r="I85">
        <v>2012</v>
      </c>
      <c r="J85">
        <v>2022</v>
      </c>
      <c r="K85" s="24">
        <f>Tabel2[[#This Row],[ijkdatum]]-Tabel2[[#This Row],[Geboren]]</f>
        <v>10</v>
      </c>
      <c r="L85" s="26">
        <f>Tabel2[[#This Row],[TTL 1]]+Tabel2[[#This Row],[TTL 2]]+Tabel2[[#This Row],[TTL 3]]+Tabel2[[#This Row],[TTL 4]]+Tabel2[[#This Row],[TTL 5]]+Tabel2[[#This Row],[TTL 6]]+Tabel2[[#This Row],[TTL 7]]+Tabel2[[#This Row],[TTL 8]]+Tabel2[[#This Row],[TTL 9]]+Tabel2[[#This Row],[TTL 10]]</f>
        <v>0</v>
      </c>
      <c r="M85" s="141">
        <v>865.56929181929172</v>
      </c>
      <c r="O85">
        <v>1</v>
      </c>
      <c r="S85" s="23">
        <f>SUM(Tabel2[[#This Row],[V 1]]*10+Tabel2[[#This Row],[GT 1]])/Tabel2[[#This Row],[AW 1]]*10+Tabel2[[#This Row],[BONUS 1]]</f>
        <v>0</v>
      </c>
      <c r="U85">
        <v>1</v>
      </c>
      <c r="Y85" s="23">
        <f>SUM(Tabel2[[#This Row],[V 2]]*10+Tabel2[[#This Row],[GT 2]])/Tabel2[[#This Row],[AW 2]]*10+Tabel2[[#This Row],[BONUS 2]]</f>
        <v>0</v>
      </c>
      <c r="AA85">
        <v>1</v>
      </c>
      <c r="AE85" s="23">
        <f>SUM(Tabel2[[#This Row],[V 3]]*10+Tabel2[[#This Row],[GT 3]])/Tabel2[[#This Row],[AW 3]]*10+Tabel2[[#This Row],[BONUS 3]]</f>
        <v>0</v>
      </c>
      <c r="AG85">
        <v>1</v>
      </c>
      <c r="AK85" s="23">
        <f>SUM(Tabel2[[#This Row],[V 4]]*10+Tabel2[[#This Row],[GT 4]])/Tabel2[[#This Row],[AW 4]]*10+Tabel2[[#This Row],[BONUS 4]]</f>
        <v>0</v>
      </c>
      <c r="AM85">
        <v>1</v>
      </c>
      <c r="AQ85" s="23">
        <f>SUM(Tabel2[[#This Row],[V 5]]*10+Tabel2[[#This Row],[GT 5]])/Tabel2[[#This Row],[AW 5]]*10+Tabel2[[#This Row],[BONUS 5]]</f>
        <v>0</v>
      </c>
      <c r="AS85">
        <v>1</v>
      </c>
      <c r="AW85" s="23">
        <f>SUM(Tabel2[[#This Row],[V 6]]*10+Tabel2[[#This Row],[GT 6]])/Tabel2[[#This Row],[AW 6]]*10+Tabel2[[#This Row],[BONUS 6]]</f>
        <v>0</v>
      </c>
      <c r="AY85">
        <v>1</v>
      </c>
      <c r="BC85" s="23">
        <f>SUM(Tabel2[[#This Row],[V 7]]*10+Tabel2[[#This Row],[GT 7]])/Tabel2[[#This Row],[AW 7]]*10+Tabel2[[#This Row],[BONUS 7]]</f>
        <v>0</v>
      </c>
      <c r="BE85">
        <v>1</v>
      </c>
      <c r="BI85" s="23">
        <f>SUM(Tabel2[[#This Row],[V 8]]*10+Tabel2[[#This Row],[GT 8]])/Tabel2[[#This Row],[AW 8]]*10+Tabel2[[#This Row],[BONUS 8]]</f>
        <v>0</v>
      </c>
      <c r="BK85">
        <v>1</v>
      </c>
      <c r="BO85" s="23">
        <f>SUM(Tabel2[[#This Row],[V 9]]*10+Tabel2[[#This Row],[GT 9]])/Tabel2[[#This Row],[AW 9]]*10+Tabel2[[#This Row],[BONUS 9]]</f>
        <v>0</v>
      </c>
      <c r="BQ85">
        <v>1</v>
      </c>
      <c r="BU85" s="23">
        <f>SUM(Tabel2[[#This Row],[V 10]]*10+Tabel2[[#This Row],[GT 10]])/Tabel2[[#This Row],[AW 10]]*10+Tabel2[[#This Row],[BONUS 10]]</f>
        <v>0</v>
      </c>
      <c r="BV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85" s="22">
        <v>750</v>
      </c>
      <c r="BX85" s="30">
        <f>Tabel2[[#This Row],[Diploma]]-Tabel2[[#This Row],[Uitgeschreven]]</f>
        <v>0</v>
      </c>
      <c r="BY85" s="2" t="str">
        <f t="shared" si="8"/>
        <v>geen actie</v>
      </c>
      <c r="CA85" s="150">
        <f>Tabel2[[#This Row],[pnt t/m 2021/22]]</f>
        <v>865.56929181929172</v>
      </c>
      <c r="CB85" s="150">
        <f>Tabel2[[#This Row],[pnt 2022/2023]]</f>
        <v>0</v>
      </c>
      <c r="CC85" s="150">
        <f t="shared" si="14"/>
        <v>865.56929181929172</v>
      </c>
      <c r="CD85" s="150">
        <f>IF(Tabel2[[#This Row],[LPR 1]]&gt;0,1,0)</f>
        <v>0</v>
      </c>
      <c r="CE85" s="150">
        <f>IF(Tabel2[[#This Row],[LPR 2]]&gt;0,1,0)</f>
        <v>0</v>
      </c>
      <c r="CF85" s="150">
        <f>IF(Tabel2[[#This Row],[LPR 3]]&gt;0,1,0)</f>
        <v>0</v>
      </c>
      <c r="CG85" s="150">
        <f>IF(Tabel2[[#This Row],[LPR 4]]&gt;0,1,0)</f>
        <v>0</v>
      </c>
      <c r="CH85" s="150">
        <f>IF(Tabel2[[#This Row],[LPR 5]]&gt;0,1,0)</f>
        <v>0</v>
      </c>
      <c r="CI85" s="150">
        <f>IF(Tabel2[[#This Row],[LPR 6]]&gt;0,1,0)</f>
        <v>0</v>
      </c>
      <c r="CJ85" s="150">
        <f>IF(Tabel2[[#This Row],[LPR 7]]&gt;0,1,0)</f>
        <v>0</v>
      </c>
      <c r="CK85" s="150">
        <f>IF(Tabel2[[#This Row],[LPR 8]]&gt;0,1,0)</f>
        <v>0</v>
      </c>
      <c r="CL85" s="150">
        <f>IF(Tabel2[[#This Row],[LPR 9]]&gt;0,1,0)</f>
        <v>0</v>
      </c>
      <c r="CM85" s="150">
        <f>IF(Tabel2[[#This Row],[LPR 10]]&gt;0,1,0)</f>
        <v>0</v>
      </c>
      <c r="CN85" s="150">
        <f>SUM(Tabel7[[#This Row],[sep]:[jun]])</f>
        <v>0</v>
      </c>
      <c r="CO85" s="22" t="str">
        <f t="shared" si="9"/>
        <v/>
      </c>
      <c r="CP85" s="22" t="str">
        <f t="shared" si="10"/>
        <v/>
      </c>
      <c r="CQ85" s="22" t="str">
        <f t="shared" si="11"/>
        <v/>
      </c>
      <c r="CR85" s="22" t="str">
        <f t="shared" si="12"/>
        <v/>
      </c>
      <c r="CS85" s="22" t="str">
        <f t="shared" si="13"/>
        <v/>
      </c>
    </row>
    <row r="86" spans="1:97" x14ac:dyDescent="0.3">
      <c r="A86" s="22" t="s">
        <v>156</v>
      </c>
      <c r="B86" s="22" t="s">
        <v>149</v>
      </c>
      <c r="D86" s="22" t="s">
        <v>150</v>
      </c>
      <c r="E86" t="s">
        <v>267</v>
      </c>
      <c r="F86" s="22">
        <v>117553</v>
      </c>
      <c r="G86" s="25" t="s">
        <v>171</v>
      </c>
      <c r="H86" s="142">
        <f>Tabel2[[#This Row],[pnt t/m 2021/22]]+Tabel2[[#This Row],[pnt 2022/2023]]</f>
        <v>2638.9642857142858</v>
      </c>
      <c r="I86">
        <v>2009</v>
      </c>
      <c r="J86">
        <v>2022</v>
      </c>
      <c r="K86" s="24">
        <f>Tabel2[[#This Row],[ijkdatum]]-Tabel2[[#This Row],[Geboren]]</f>
        <v>13</v>
      </c>
      <c r="L86" s="26">
        <f>Tabel2[[#This Row],[TTL 1]]+Tabel2[[#This Row],[TTL 2]]+Tabel2[[#This Row],[TTL 3]]+Tabel2[[#This Row],[TTL 4]]+Tabel2[[#This Row],[TTL 5]]+Tabel2[[#This Row],[TTL 6]]+Tabel2[[#This Row],[TTL 7]]+Tabel2[[#This Row],[TTL 8]]+Tabel2[[#This Row],[TTL 9]]+Tabel2[[#This Row],[TTL 10]]</f>
        <v>264.28571428571428</v>
      </c>
      <c r="M86" s="141">
        <v>2374.6785714285716</v>
      </c>
      <c r="N86">
        <v>6</v>
      </c>
      <c r="O86">
        <v>8</v>
      </c>
      <c r="P86">
        <v>8</v>
      </c>
      <c r="Q86">
        <v>40</v>
      </c>
      <c r="S86" s="23">
        <f>SUM(Tabel2[[#This Row],[V 1]]*10+Tabel2[[#This Row],[GT 1]])/Tabel2[[#This Row],[AW 1]]*10+Tabel2[[#This Row],[BONUS 1]]</f>
        <v>150</v>
      </c>
      <c r="U86">
        <v>1</v>
      </c>
      <c r="Y86" s="23">
        <f>SUM(Tabel2[[#This Row],[V 2]]*10+Tabel2[[#This Row],[GT 2]])/Tabel2[[#This Row],[AW 2]]*10+Tabel2[[#This Row],[BONUS 2]]</f>
        <v>0</v>
      </c>
      <c r="Z86">
        <v>5</v>
      </c>
      <c r="AA86">
        <v>7</v>
      </c>
      <c r="AB86">
        <v>5</v>
      </c>
      <c r="AC86">
        <v>30</v>
      </c>
      <c r="AE86" s="23">
        <f>SUM(Tabel2[[#This Row],[V 3]]*10+Tabel2[[#This Row],[GT 3]])/Tabel2[[#This Row],[AW 3]]*10+Tabel2[[#This Row],[BONUS 3]]</f>
        <v>114.28571428571429</v>
      </c>
      <c r="AG86">
        <v>1</v>
      </c>
      <c r="AK86" s="23">
        <f>SUM(Tabel2[[#This Row],[V 4]]*10+Tabel2[[#This Row],[GT 4]])/Tabel2[[#This Row],[AW 4]]*10+Tabel2[[#This Row],[BONUS 4]]</f>
        <v>0</v>
      </c>
      <c r="AM86">
        <v>1</v>
      </c>
      <c r="AQ86" s="23">
        <f>SUM(Tabel2[[#This Row],[V 5]]*10+Tabel2[[#This Row],[GT 5]])/Tabel2[[#This Row],[AW 5]]*10+Tabel2[[#This Row],[BONUS 5]]</f>
        <v>0</v>
      </c>
      <c r="AS86">
        <v>1</v>
      </c>
      <c r="AW86" s="23">
        <f>SUM(Tabel2[[#This Row],[V 6]]*10+Tabel2[[#This Row],[GT 6]])/Tabel2[[#This Row],[AW 6]]*10+Tabel2[[#This Row],[BONUS 6]]</f>
        <v>0</v>
      </c>
      <c r="AY86">
        <v>1</v>
      </c>
      <c r="BC86" s="23">
        <f>SUM(Tabel2[[#This Row],[V 7]]*10+Tabel2[[#This Row],[GT 7]])/Tabel2[[#This Row],[AW 7]]*10+Tabel2[[#This Row],[BONUS 7]]</f>
        <v>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86" s="22">
        <v>2500</v>
      </c>
      <c r="BX86" s="30">
        <f>Tabel2[[#This Row],[Diploma]]-Tabel2[[#This Row],[Uitgeschreven]]</f>
        <v>0</v>
      </c>
      <c r="BY86" s="2" t="str">
        <f t="shared" si="8"/>
        <v>geen actie</v>
      </c>
      <c r="CA86" s="150">
        <f>Tabel2[[#This Row],[pnt t/m 2021/22]]</f>
        <v>2374.6785714285716</v>
      </c>
      <c r="CB86" s="150">
        <f>Tabel2[[#This Row],[pnt 2022/2023]]</f>
        <v>264.28571428571428</v>
      </c>
      <c r="CC86" s="150">
        <f t="shared" si="14"/>
        <v>2638.9642857142858</v>
      </c>
      <c r="CD86" s="150">
        <f>IF(Tabel2[[#This Row],[LPR 1]]&gt;0,1,0)</f>
        <v>1</v>
      </c>
      <c r="CE86" s="150">
        <f>IF(Tabel2[[#This Row],[LPR 2]]&gt;0,1,0)</f>
        <v>0</v>
      </c>
      <c r="CF86" s="150">
        <f>IF(Tabel2[[#This Row],[LPR 3]]&gt;0,1,0)</f>
        <v>1</v>
      </c>
      <c r="CG86" s="150">
        <f>IF(Tabel2[[#This Row],[LPR 4]]&gt;0,1,0)</f>
        <v>0</v>
      </c>
      <c r="CH86" s="150">
        <f>IF(Tabel2[[#This Row],[LPR 5]]&gt;0,1,0)</f>
        <v>0</v>
      </c>
      <c r="CI86" s="150">
        <f>IF(Tabel2[[#This Row],[LPR 6]]&gt;0,1,0)</f>
        <v>0</v>
      </c>
      <c r="CJ86" s="150">
        <f>IF(Tabel2[[#This Row],[LPR 7]]&gt;0,1,0)</f>
        <v>0</v>
      </c>
      <c r="CK86" s="150">
        <f>IF(Tabel2[[#This Row],[LPR 8]]&gt;0,1,0)</f>
        <v>0</v>
      </c>
      <c r="CL86" s="150">
        <f>IF(Tabel2[[#This Row],[LPR 9]]&gt;0,1,0)</f>
        <v>0</v>
      </c>
      <c r="CM86" s="150">
        <f>IF(Tabel2[[#This Row],[LPR 10]]&gt;0,1,0)</f>
        <v>0</v>
      </c>
      <c r="CN86" s="150">
        <f>SUM(Tabel7[[#This Row],[sep]:[jun]])</f>
        <v>2</v>
      </c>
      <c r="CO86" s="22" t="str">
        <f t="shared" si="9"/>
        <v/>
      </c>
      <c r="CP86" s="22" t="str">
        <f t="shared" si="10"/>
        <v/>
      </c>
      <c r="CQ86" s="22" t="str">
        <f t="shared" si="11"/>
        <v/>
      </c>
      <c r="CR86" s="22" t="str">
        <f t="shared" si="12"/>
        <v>x</v>
      </c>
      <c r="CS86" s="22" t="str">
        <f t="shared" si="13"/>
        <v/>
      </c>
    </row>
    <row r="87" spans="1:97" x14ac:dyDescent="0.3">
      <c r="A87" s="22" t="s">
        <v>159</v>
      </c>
      <c r="B87" s="22" t="s">
        <v>149</v>
      </c>
      <c r="D87" s="22" t="s">
        <v>163</v>
      </c>
      <c r="E87" t="s">
        <v>268</v>
      </c>
      <c r="F87" s="22">
        <v>118918</v>
      </c>
      <c r="G87" s="25" t="s">
        <v>181</v>
      </c>
      <c r="H87" s="142">
        <f>Tabel2[[#This Row],[pnt t/m 2021/22]]+Tabel2[[#This Row],[pnt 2022/2023]]</f>
        <v>342.29545454545456</v>
      </c>
      <c r="I87">
        <v>2008</v>
      </c>
      <c r="J87">
        <v>2022</v>
      </c>
      <c r="K87" s="24">
        <f>Tabel2[[#This Row],[ijkdatum]]-Tabel2[[#This Row],[Geboren]]</f>
        <v>14</v>
      </c>
      <c r="L87" s="26">
        <f>Tabel2[[#This Row],[TTL 1]]+Tabel2[[#This Row],[TTL 2]]+Tabel2[[#This Row],[TTL 3]]+Tabel2[[#This Row],[TTL 4]]+Tabel2[[#This Row],[TTL 5]]+Tabel2[[#This Row],[TTL 6]]+Tabel2[[#This Row],[TTL 7]]+Tabel2[[#This Row],[TTL 8]]+Tabel2[[#This Row],[TTL 9]]+Tabel2[[#This Row],[TTL 10]]</f>
        <v>0</v>
      </c>
      <c r="M87" s="141">
        <v>342.29545454545456</v>
      </c>
      <c r="O87">
        <v>1</v>
      </c>
      <c r="S87" s="23">
        <f>SUM(Tabel2[[#This Row],[V 1]]*10+Tabel2[[#This Row],[GT 1]])/Tabel2[[#This Row],[AW 1]]*10+Tabel2[[#This Row],[BONUS 1]]</f>
        <v>0</v>
      </c>
      <c r="U87">
        <v>1</v>
      </c>
      <c r="Y87" s="23">
        <f>SUM(Tabel2[[#This Row],[V 2]]*10+Tabel2[[#This Row],[GT 2]])/Tabel2[[#This Row],[AW 2]]*10+Tabel2[[#This Row],[BONUS 2]]</f>
        <v>0</v>
      </c>
      <c r="AA87">
        <v>1</v>
      </c>
      <c r="AE87" s="23">
        <f>SUM(Tabel2[[#This Row],[V 3]]*10+Tabel2[[#This Row],[GT 3]])/Tabel2[[#This Row],[AW 3]]*10+Tabel2[[#This Row],[BONUS 3]]</f>
        <v>0</v>
      </c>
      <c r="AG87">
        <v>1</v>
      </c>
      <c r="AK87" s="23">
        <f>SUM(Tabel2[[#This Row],[V 4]]*10+Tabel2[[#This Row],[GT 4]])/Tabel2[[#This Row],[AW 4]]*10+Tabel2[[#This Row],[BONUS 4]]</f>
        <v>0</v>
      </c>
      <c r="AM87">
        <v>1</v>
      </c>
      <c r="AQ87" s="23">
        <f>SUM(Tabel2[[#This Row],[V 5]]*10+Tabel2[[#This Row],[GT 5]])/Tabel2[[#This Row],[AW 5]]*10+Tabel2[[#This Row],[BONUS 5]]</f>
        <v>0</v>
      </c>
      <c r="AS87">
        <v>1</v>
      </c>
      <c r="AW87" s="23">
        <f>SUM(Tabel2[[#This Row],[V 6]]*10+Tabel2[[#This Row],[GT 6]])/Tabel2[[#This Row],[AW 6]]*10+Tabel2[[#This Row],[BONUS 6]]</f>
        <v>0</v>
      </c>
      <c r="AY87">
        <v>1</v>
      </c>
      <c r="BC87" s="23">
        <f>SUM(Tabel2[[#This Row],[V 7]]*10+Tabel2[[#This Row],[GT 7]])/Tabel2[[#This Row],[AW 7]]*10+Tabel2[[#This Row],[BONUS 7]]</f>
        <v>0</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7" s="22">
        <v>250</v>
      </c>
      <c r="BX87" s="30">
        <f>Tabel2[[#This Row],[Diploma]]-Tabel2[[#This Row],[Uitgeschreven]]</f>
        <v>0</v>
      </c>
      <c r="BY87" s="2" t="str">
        <f t="shared" si="8"/>
        <v>geen actie</v>
      </c>
      <c r="CA87" s="150">
        <f>Tabel2[[#This Row],[pnt t/m 2021/22]]</f>
        <v>342.29545454545456</v>
      </c>
      <c r="CB87" s="150">
        <f>Tabel2[[#This Row],[pnt 2022/2023]]</f>
        <v>0</v>
      </c>
      <c r="CC87" s="150">
        <f t="shared" si="14"/>
        <v>342.29545454545456</v>
      </c>
      <c r="CD87" s="150">
        <f>IF(Tabel2[[#This Row],[LPR 1]]&gt;0,1,0)</f>
        <v>0</v>
      </c>
      <c r="CE87" s="150">
        <f>IF(Tabel2[[#This Row],[LPR 2]]&gt;0,1,0)</f>
        <v>0</v>
      </c>
      <c r="CF87" s="150">
        <f>IF(Tabel2[[#This Row],[LPR 3]]&gt;0,1,0)</f>
        <v>0</v>
      </c>
      <c r="CG87" s="150">
        <f>IF(Tabel2[[#This Row],[LPR 4]]&gt;0,1,0)</f>
        <v>0</v>
      </c>
      <c r="CH87" s="150">
        <f>IF(Tabel2[[#This Row],[LPR 5]]&gt;0,1,0)</f>
        <v>0</v>
      </c>
      <c r="CI87" s="150">
        <f>IF(Tabel2[[#This Row],[LPR 6]]&gt;0,1,0)</f>
        <v>0</v>
      </c>
      <c r="CJ87" s="150">
        <f>IF(Tabel2[[#This Row],[LPR 7]]&gt;0,1,0)</f>
        <v>0</v>
      </c>
      <c r="CK87" s="150">
        <f>IF(Tabel2[[#This Row],[LPR 8]]&gt;0,1,0)</f>
        <v>0</v>
      </c>
      <c r="CL87" s="150">
        <f>IF(Tabel2[[#This Row],[LPR 9]]&gt;0,1,0)</f>
        <v>0</v>
      </c>
      <c r="CM87" s="150">
        <f>IF(Tabel2[[#This Row],[LPR 10]]&gt;0,1,0)</f>
        <v>0</v>
      </c>
      <c r="CN87" s="150">
        <f>SUM(Tabel7[[#This Row],[sep]:[jun]])</f>
        <v>0</v>
      </c>
      <c r="CO87" s="22" t="str">
        <f t="shared" si="9"/>
        <v/>
      </c>
      <c r="CP87" s="22" t="str">
        <f t="shared" si="10"/>
        <v/>
      </c>
      <c r="CQ87" s="22" t="str">
        <f t="shared" si="11"/>
        <v/>
      </c>
      <c r="CR87" s="22" t="str">
        <f t="shared" si="12"/>
        <v/>
      </c>
      <c r="CS87" s="22" t="str">
        <f t="shared" si="13"/>
        <v/>
      </c>
    </row>
    <row r="88" spans="1:97" x14ac:dyDescent="0.3">
      <c r="A88" s="22" t="s">
        <v>156</v>
      </c>
      <c r="B88" s="22" t="s">
        <v>157</v>
      </c>
      <c r="D88" s="22" t="s">
        <v>163</v>
      </c>
      <c r="E88" t="s">
        <v>269</v>
      </c>
      <c r="F88" s="22">
        <v>120737</v>
      </c>
      <c r="G88" s="25" t="s">
        <v>206</v>
      </c>
      <c r="H88" s="23">
        <f>Tabel2[[#This Row],[pnt t/m 2021/22]]+Tabel2[[#This Row],[pnt 2022/2023]]</f>
        <v>71.428571428571431</v>
      </c>
      <c r="I88">
        <v>2007</v>
      </c>
      <c r="J88">
        <v>2022</v>
      </c>
      <c r="K88" s="24">
        <f>Tabel2[[#This Row],[ijkdatum]]-Tabel2[[#This Row],[Geboren]]</f>
        <v>15</v>
      </c>
      <c r="L88" s="26">
        <f>Tabel2[[#This Row],[TTL 1]]+Tabel2[[#This Row],[TTL 2]]+Tabel2[[#This Row],[TTL 3]]+Tabel2[[#This Row],[TTL 4]]+Tabel2[[#This Row],[TTL 5]]+Tabel2[[#This Row],[TTL 6]]+Tabel2[[#This Row],[TTL 7]]+Tabel2[[#This Row],[TTL 8]]+Tabel2[[#This Row],[TTL 9]]+Tabel2[[#This Row],[TTL 10]]</f>
        <v>0</v>
      </c>
      <c r="M88" s="153">
        <v>71.428571428571431</v>
      </c>
      <c r="O88">
        <v>1</v>
      </c>
      <c r="S88" s="153">
        <f>SUM(Tabel2[[#This Row],[V 1]]*10+Tabel2[[#This Row],[GT 1]])/Tabel2[[#This Row],[AW 1]]*10+Tabel2[[#This Row],[BONUS 1]]</f>
        <v>0</v>
      </c>
      <c r="U88">
        <v>1</v>
      </c>
      <c r="Y88" s="153">
        <f>SUM(Tabel2[[#This Row],[V 2]]*10+Tabel2[[#This Row],[GT 2]])/Tabel2[[#This Row],[AW 2]]*10+Tabel2[[#This Row],[BONUS 2]]</f>
        <v>0</v>
      </c>
      <c r="AA88">
        <v>1</v>
      </c>
      <c r="AE88" s="153">
        <f>SUM(Tabel2[[#This Row],[V 3]]*10+Tabel2[[#This Row],[GT 3]])/Tabel2[[#This Row],[AW 3]]*10+Tabel2[[#This Row],[BONUS 3]]</f>
        <v>0</v>
      </c>
      <c r="AG88">
        <v>1</v>
      </c>
      <c r="AK88" s="153">
        <f>SUM(Tabel2[[#This Row],[V 4]]*10+Tabel2[[#This Row],[GT 4]])/Tabel2[[#This Row],[AW 4]]*10+Tabel2[[#This Row],[BONUS 4]]</f>
        <v>0</v>
      </c>
      <c r="AM88">
        <v>1</v>
      </c>
      <c r="AQ88" s="153">
        <f>SUM(Tabel2[[#This Row],[V 5]]*10+Tabel2[[#This Row],[GT 5]])/Tabel2[[#This Row],[AW 5]]*10+Tabel2[[#This Row],[BONUS 5]]</f>
        <v>0</v>
      </c>
      <c r="AS88">
        <v>1</v>
      </c>
      <c r="AW88" s="153">
        <f>SUM(Tabel2[[#This Row],[V 6]]*10+Tabel2[[#This Row],[GT 6]])/Tabel2[[#This Row],[AW 6]]*10+Tabel2[[#This Row],[BONUS 6]]</f>
        <v>0</v>
      </c>
      <c r="AY88">
        <v>1</v>
      </c>
      <c r="BC88" s="23">
        <f>SUM(Tabel2[[#This Row],[V 7]]*10+Tabel2[[#This Row],[GT 7]])/Tabel2[[#This Row],[AW 7]]*10+Tabel2[[#This Row],[BONUS 7]]</f>
        <v>0</v>
      </c>
      <c r="BE88">
        <v>1</v>
      </c>
      <c r="BI88" s="153">
        <f>SUM(Tabel2[[#This Row],[V 8]]*10+Tabel2[[#This Row],[GT 8]])/Tabel2[[#This Row],[AW 8]]*10+Tabel2[[#This Row],[BONUS 8]]</f>
        <v>0</v>
      </c>
      <c r="BK88">
        <v>1</v>
      </c>
      <c r="BO88" s="153">
        <f>SUM(Tabel2[[#This Row],[V 9]]*10+Tabel2[[#This Row],[GT 9]])/Tabel2[[#This Row],[AW 9]]*10+Tabel2[[#This Row],[BONUS 9]]</f>
        <v>0</v>
      </c>
      <c r="BQ88">
        <v>1</v>
      </c>
      <c r="BU88" s="23">
        <f>SUM(Tabel2[[#This Row],[V 10]]*10+Tabel2[[#This Row],[GT 10]])/Tabel2[[#This Row],[AW 10]]*10+Tabel2[[#This Row],[BONUS 10]]</f>
        <v>0</v>
      </c>
      <c r="BV8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8" s="22">
        <v>0</v>
      </c>
      <c r="BX88" s="22">
        <f>Tabel2[[#This Row],[Diploma]]-Tabel2[[#This Row],[Uitgeschreven]]</f>
        <v>0</v>
      </c>
      <c r="BY88" s="155" t="str">
        <f t="shared" si="8"/>
        <v>geen actie</v>
      </c>
      <c r="CA88" s="150">
        <f>Tabel2[[#This Row],[pnt t/m 2021/22]]</f>
        <v>71.428571428571431</v>
      </c>
      <c r="CB88" s="150">
        <f>Tabel2[[#This Row],[pnt 2022/2023]]</f>
        <v>0</v>
      </c>
      <c r="CC88" s="150">
        <f t="shared" si="14"/>
        <v>71.428571428571431</v>
      </c>
      <c r="CD88" s="150">
        <f>IF(Tabel2[[#This Row],[LPR 1]]&gt;0,1,0)</f>
        <v>0</v>
      </c>
      <c r="CE88" s="150">
        <f>IF(Tabel2[[#This Row],[LPR 2]]&gt;0,1,0)</f>
        <v>0</v>
      </c>
      <c r="CF88" s="150">
        <f>IF(Tabel2[[#This Row],[LPR 3]]&gt;0,1,0)</f>
        <v>0</v>
      </c>
      <c r="CG88" s="150">
        <f>IF(Tabel2[[#This Row],[LPR 4]]&gt;0,1,0)</f>
        <v>0</v>
      </c>
      <c r="CH88" s="150">
        <f>IF(Tabel2[[#This Row],[LPR 5]]&gt;0,1,0)</f>
        <v>0</v>
      </c>
      <c r="CI88" s="150">
        <f>IF(Tabel2[[#This Row],[LPR 6]]&gt;0,1,0)</f>
        <v>0</v>
      </c>
      <c r="CJ88" s="150">
        <f>IF(Tabel2[[#This Row],[LPR 7]]&gt;0,1,0)</f>
        <v>0</v>
      </c>
      <c r="CK88" s="150">
        <f>IF(Tabel2[[#This Row],[LPR 8]]&gt;0,1,0)</f>
        <v>0</v>
      </c>
      <c r="CL88" s="150">
        <f>IF(Tabel2[[#This Row],[LPR 9]]&gt;0,1,0)</f>
        <v>0</v>
      </c>
      <c r="CM88" s="150">
        <f>IF(Tabel2[[#This Row],[LPR 10]]&gt;0,1,0)</f>
        <v>0</v>
      </c>
      <c r="CN88" s="150">
        <f>SUM(Tabel7[[#This Row],[sep]:[jun]])</f>
        <v>0</v>
      </c>
      <c r="CO88" s="22" t="str">
        <f t="shared" si="9"/>
        <v/>
      </c>
      <c r="CP88" s="22" t="str">
        <f t="shared" si="10"/>
        <v/>
      </c>
      <c r="CQ88" s="22" t="str">
        <f t="shared" si="11"/>
        <v/>
      </c>
      <c r="CR88" s="22" t="str">
        <f t="shared" si="12"/>
        <v/>
      </c>
      <c r="CS88" s="22" t="str">
        <f t="shared" si="13"/>
        <v/>
      </c>
    </row>
    <row r="89" spans="1:97" x14ac:dyDescent="0.3">
      <c r="A89" s="22" t="s">
        <v>190</v>
      </c>
      <c r="B89" s="22" t="s">
        <v>157</v>
      </c>
      <c r="D89" s="22" t="s">
        <v>163</v>
      </c>
      <c r="E89" t="s">
        <v>270</v>
      </c>
      <c r="F89" s="22">
        <v>119449</v>
      </c>
      <c r="G89" s="25" t="s">
        <v>206</v>
      </c>
      <c r="H89" s="23">
        <f>Tabel2[[#This Row],[pnt t/m 2021/22]]+Tabel2[[#This Row],[pnt 2022/2023]]</f>
        <v>77.142857142857139</v>
      </c>
      <c r="I89">
        <v>2011</v>
      </c>
      <c r="J89">
        <v>2022</v>
      </c>
      <c r="K89" s="24">
        <f>Tabel2[[#This Row],[ijkdatum]]-Tabel2[[#This Row],[Geboren]]</f>
        <v>11</v>
      </c>
      <c r="L89" s="26">
        <f>Tabel2[[#This Row],[TTL 1]]+Tabel2[[#This Row],[TTL 2]]+Tabel2[[#This Row],[TTL 3]]+Tabel2[[#This Row],[TTL 4]]+Tabel2[[#This Row],[TTL 5]]+Tabel2[[#This Row],[TTL 6]]+Tabel2[[#This Row],[TTL 7]]+Tabel2[[#This Row],[TTL 8]]+Tabel2[[#This Row],[TTL 9]]+Tabel2[[#This Row],[TTL 10]]</f>
        <v>0</v>
      </c>
      <c r="M89" s="153">
        <v>77.142857142857139</v>
      </c>
      <c r="O89">
        <v>1</v>
      </c>
      <c r="S89" s="153">
        <f>SUM(Tabel2[[#This Row],[V 1]]*10+Tabel2[[#This Row],[GT 1]])/Tabel2[[#This Row],[AW 1]]*10+Tabel2[[#This Row],[BONUS 1]]</f>
        <v>0</v>
      </c>
      <c r="U89">
        <v>1</v>
      </c>
      <c r="Y89" s="153">
        <f>SUM(Tabel2[[#This Row],[V 2]]*10+Tabel2[[#This Row],[GT 2]])/Tabel2[[#This Row],[AW 2]]*10+Tabel2[[#This Row],[BONUS 2]]</f>
        <v>0</v>
      </c>
      <c r="AA89">
        <v>1</v>
      </c>
      <c r="AE89" s="153">
        <f>SUM(Tabel2[[#This Row],[V 3]]*10+Tabel2[[#This Row],[GT 3]])/Tabel2[[#This Row],[AW 3]]*10+Tabel2[[#This Row],[BONUS 3]]</f>
        <v>0</v>
      </c>
      <c r="AG89">
        <v>1</v>
      </c>
      <c r="AK89" s="153">
        <f>SUM(Tabel2[[#This Row],[V 4]]*10+Tabel2[[#This Row],[GT 4]])/Tabel2[[#This Row],[AW 4]]*10+Tabel2[[#This Row],[BONUS 4]]</f>
        <v>0</v>
      </c>
      <c r="AM89">
        <v>1</v>
      </c>
      <c r="AQ89" s="153">
        <f>SUM(Tabel2[[#This Row],[V 5]]*10+Tabel2[[#This Row],[GT 5]])/Tabel2[[#This Row],[AW 5]]*10+Tabel2[[#This Row],[BONUS 5]]</f>
        <v>0</v>
      </c>
      <c r="AS89">
        <v>1</v>
      </c>
      <c r="AW89" s="153">
        <f>SUM(Tabel2[[#This Row],[V 6]]*10+Tabel2[[#This Row],[GT 6]])/Tabel2[[#This Row],[AW 6]]*10+Tabel2[[#This Row],[BONUS 6]]</f>
        <v>0</v>
      </c>
      <c r="AY89">
        <v>1</v>
      </c>
      <c r="BC89" s="23">
        <f>SUM(Tabel2[[#This Row],[V 7]]*10+Tabel2[[#This Row],[GT 7]])/Tabel2[[#This Row],[AW 7]]*10+Tabel2[[#This Row],[BONUS 7]]</f>
        <v>0</v>
      </c>
      <c r="BE89">
        <v>1</v>
      </c>
      <c r="BI89" s="153">
        <f>SUM(Tabel2[[#This Row],[V 8]]*10+Tabel2[[#This Row],[GT 8]])/Tabel2[[#This Row],[AW 8]]*10+Tabel2[[#This Row],[BONUS 8]]</f>
        <v>0</v>
      </c>
      <c r="BK89">
        <v>1</v>
      </c>
      <c r="BO89" s="153">
        <f>SUM(Tabel2[[#This Row],[V 9]]*10+Tabel2[[#This Row],[GT 9]])/Tabel2[[#This Row],[AW 9]]*10+Tabel2[[#This Row],[BONUS 9]]</f>
        <v>0</v>
      </c>
      <c r="BQ89">
        <v>1</v>
      </c>
      <c r="BU89" s="23">
        <f>SUM(Tabel2[[#This Row],[V 10]]*10+Tabel2[[#This Row],[GT 10]])/Tabel2[[#This Row],[AW 10]]*10+Tabel2[[#This Row],[BONUS 10]]</f>
        <v>0</v>
      </c>
      <c r="BV8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9" s="22">
        <v>0</v>
      </c>
      <c r="BX89" s="22">
        <f>Tabel2[[#This Row],[Diploma]]-Tabel2[[#This Row],[Uitgeschreven]]</f>
        <v>0</v>
      </c>
      <c r="BY89" s="155" t="str">
        <f t="shared" si="8"/>
        <v>geen actie</v>
      </c>
      <c r="CA89" s="150">
        <f>Tabel2[[#This Row],[pnt t/m 2021/22]]</f>
        <v>77.142857142857139</v>
      </c>
      <c r="CB89" s="150">
        <f>Tabel2[[#This Row],[pnt 2022/2023]]</f>
        <v>0</v>
      </c>
      <c r="CC89" s="150">
        <f t="shared" si="14"/>
        <v>77.142857142857139</v>
      </c>
      <c r="CD89" s="150">
        <f>IF(Tabel2[[#This Row],[LPR 1]]&gt;0,1,0)</f>
        <v>0</v>
      </c>
      <c r="CE89" s="150">
        <f>IF(Tabel2[[#This Row],[LPR 2]]&gt;0,1,0)</f>
        <v>0</v>
      </c>
      <c r="CF89" s="150">
        <f>IF(Tabel2[[#This Row],[LPR 3]]&gt;0,1,0)</f>
        <v>0</v>
      </c>
      <c r="CG89" s="150">
        <f>IF(Tabel2[[#This Row],[LPR 4]]&gt;0,1,0)</f>
        <v>0</v>
      </c>
      <c r="CH89" s="150">
        <f>IF(Tabel2[[#This Row],[LPR 5]]&gt;0,1,0)</f>
        <v>0</v>
      </c>
      <c r="CI89" s="150">
        <f>IF(Tabel2[[#This Row],[LPR 6]]&gt;0,1,0)</f>
        <v>0</v>
      </c>
      <c r="CJ89" s="150">
        <f>IF(Tabel2[[#This Row],[LPR 7]]&gt;0,1,0)</f>
        <v>0</v>
      </c>
      <c r="CK89" s="150">
        <f>IF(Tabel2[[#This Row],[LPR 8]]&gt;0,1,0)</f>
        <v>0</v>
      </c>
      <c r="CL89" s="150">
        <f>IF(Tabel2[[#This Row],[LPR 9]]&gt;0,1,0)</f>
        <v>0</v>
      </c>
      <c r="CM89" s="150">
        <f>IF(Tabel2[[#This Row],[LPR 10]]&gt;0,1,0)</f>
        <v>0</v>
      </c>
      <c r="CN89" s="150">
        <f>SUM(Tabel7[[#This Row],[sep]:[jun]])</f>
        <v>0</v>
      </c>
      <c r="CO89" s="22" t="str">
        <f t="shared" si="9"/>
        <v/>
      </c>
      <c r="CP89" s="22" t="str">
        <f t="shared" si="10"/>
        <v/>
      </c>
      <c r="CQ89" s="22" t="str">
        <f t="shared" si="11"/>
        <v/>
      </c>
      <c r="CR89" s="22" t="str">
        <f t="shared" si="12"/>
        <v/>
      </c>
      <c r="CS89" s="22" t="str">
        <f t="shared" si="13"/>
        <v/>
      </c>
    </row>
    <row r="90" spans="1:97" x14ac:dyDescent="0.3">
      <c r="A90" s="22" t="s">
        <v>156</v>
      </c>
      <c r="B90" s="22" t="s">
        <v>149</v>
      </c>
      <c r="D90" s="22" t="s">
        <v>150</v>
      </c>
      <c r="E90" t="s">
        <v>271</v>
      </c>
      <c r="F90" s="22">
        <v>119258</v>
      </c>
      <c r="G90" s="25" t="s">
        <v>162</v>
      </c>
      <c r="H90" s="142">
        <f>Tabel2[[#This Row],[pnt t/m 2021/22]]+Tabel2[[#This Row],[pnt 2022/2023]]</f>
        <v>818.42063492063494</v>
      </c>
      <c r="I90">
        <v>2008</v>
      </c>
      <c r="J90">
        <v>2022</v>
      </c>
      <c r="K90" s="24">
        <f>Tabel2[[#This Row],[ijkdatum]]-Tabel2[[#This Row],[Geboren]]</f>
        <v>14</v>
      </c>
      <c r="L90" s="26">
        <f>Tabel2[[#This Row],[TTL 1]]+Tabel2[[#This Row],[TTL 2]]+Tabel2[[#This Row],[TTL 3]]+Tabel2[[#This Row],[TTL 4]]+Tabel2[[#This Row],[TTL 5]]+Tabel2[[#This Row],[TTL 6]]+Tabel2[[#This Row],[TTL 7]]+Tabel2[[#This Row],[TTL 8]]+Tabel2[[#This Row],[TTL 9]]+Tabel2[[#This Row],[TTL 10]]</f>
        <v>241.25</v>
      </c>
      <c r="M90" s="141">
        <v>577.17063492063494</v>
      </c>
      <c r="N90">
        <v>5</v>
      </c>
      <c r="O90">
        <v>8</v>
      </c>
      <c r="P90">
        <v>5</v>
      </c>
      <c r="Q90">
        <v>33</v>
      </c>
      <c r="S90" s="23">
        <f>SUM(Tabel2[[#This Row],[V 1]]*10+Tabel2[[#This Row],[GT 1]])/Tabel2[[#This Row],[AW 1]]*10+Tabel2[[#This Row],[BONUS 1]]</f>
        <v>103.75</v>
      </c>
      <c r="T90">
        <v>4</v>
      </c>
      <c r="U90">
        <v>12</v>
      </c>
      <c r="V90">
        <v>3</v>
      </c>
      <c r="W90">
        <v>39</v>
      </c>
      <c r="Y90" s="23">
        <f>SUM(Tabel2[[#This Row],[V 2]]*10+Tabel2[[#This Row],[GT 2]])/Tabel2[[#This Row],[AW 2]]*10+Tabel2[[#This Row],[BONUS 2]]</f>
        <v>57.5</v>
      </c>
      <c r="Z90">
        <v>5</v>
      </c>
      <c r="AA90">
        <v>7</v>
      </c>
      <c r="AB90">
        <v>3</v>
      </c>
      <c r="AC90">
        <v>26</v>
      </c>
      <c r="AE90" s="23">
        <f>SUM(Tabel2[[#This Row],[V 3]]*10+Tabel2[[#This Row],[GT 3]])/Tabel2[[#This Row],[AW 3]]*10+Tabel2[[#This Row],[BONUS 3]]</f>
        <v>80</v>
      </c>
      <c r="AG90">
        <v>1</v>
      </c>
      <c r="AK90" s="23">
        <f>SUM(Tabel2[[#This Row],[V 4]]*10+Tabel2[[#This Row],[GT 4]])/Tabel2[[#This Row],[AW 4]]*10+Tabel2[[#This Row],[BONUS 4]]</f>
        <v>0</v>
      </c>
      <c r="AM90">
        <v>1</v>
      </c>
      <c r="AQ90" s="23">
        <f>SUM(Tabel2[[#This Row],[V 5]]*10+Tabel2[[#This Row],[GT 5]])/Tabel2[[#This Row],[AW 5]]*10+Tabel2[[#This Row],[BONUS 5]]</f>
        <v>0</v>
      </c>
      <c r="AS90">
        <v>1</v>
      </c>
      <c r="AW90" s="23">
        <f>SUM(Tabel2[[#This Row],[V 6]]*10+Tabel2[[#This Row],[GT 6]])/Tabel2[[#This Row],[AW 6]]*10+Tabel2[[#This Row],[BONUS 6]]</f>
        <v>0</v>
      </c>
      <c r="AY90">
        <v>1</v>
      </c>
      <c r="BC90" s="23">
        <f>SUM(Tabel2[[#This Row],[V 7]]*10+Tabel2[[#This Row],[GT 7]])/Tabel2[[#This Row],[AW 7]]*10+Tabel2[[#This Row],[BONUS 7]]</f>
        <v>0</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0" s="22">
        <v>500</v>
      </c>
      <c r="BX90" s="30">
        <f>Tabel2[[#This Row],[Diploma]]-Tabel2[[#This Row],[Uitgeschreven]]</f>
        <v>250</v>
      </c>
      <c r="BY90" s="2" t="str">
        <f t="shared" si="8"/>
        <v>diploma uitschrijven: 750 punten</v>
      </c>
      <c r="CA90" s="150">
        <f>Tabel2[[#This Row],[pnt t/m 2021/22]]</f>
        <v>577.17063492063494</v>
      </c>
      <c r="CB90" s="150">
        <f>Tabel2[[#This Row],[pnt 2022/2023]]</f>
        <v>241.25</v>
      </c>
      <c r="CC90" s="150">
        <f t="shared" si="14"/>
        <v>818.42063492063494</v>
      </c>
      <c r="CD90" s="150">
        <f>IF(Tabel2[[#This Row],[LPR 1]]&gt;0,1,0)</f>
        <v>1</v>
      </c>
      <c r="CE90" s="150">
        <f>IF(Tabel2[[#This Row],[LPR 2]]&gt;0,1,0)</f>
        <v>1</v>
      </c>
      <c r="CF90" s="150">
        <f>IF(Tabel2[[#This Row],[LPR 3]]&gt;0,1,0)</f>
        <v>1</v>
      </c>
      <c r="CG90" s="150">
        <f>IF(Tabel2[[#This Row],[LPR 4]]&gt;0,1,0)</f>
        <v>0</v>
      </c>
      <c r="CH90" s="150">
        <f>IF(Tabel2[[#This Row],[LPR 5]]&gt;0,1,0)</f>
        <v>0</v>
      </c>
      <c r="CI90" s="150">
        <f>IF(Tabel2[[#This Row],[LPR 6]]&gt;0,1,0)</f>
        <v>0</v>
      </c>
      <c r="CJ90" s="150">
        <f>IF(Tabel2[[#This Row],[LPR 7]]&gt;0,1,0)</f>
        <v>0</v>
      </c>
      <c r="CK90" s="150">
        <f>IF(Tabel2[[#This Row],[LPR 8]]&gt;0,1,0)</f>
        <v>0</v>
      </c>
      <c r="CL90" s="150">
        <f>IF(Tabel2[[#This Row],[LPR 9]]&gt;0,1,0)</f>
        <v>0</v>
      </c>
      <c r="CM90" s="150">
        <f>IF(Tabel2[[#This Row],[LPR 10]]&gt;0,1,0)</f>
        <v>0</v>
      </c>
      <c r="CN90" s="150">
        <f>SUM(Tabel7[[#This Row],[sep]:[jun]])</f>
        <v>3</v>
      </c>
      <c r="CO90" s="22" t="str">
        <f t="shared" si="9"/>
        <v/>
      </c>
      <c r="CP90" s="22" t="str">
        <f t="shared" si="10"/>
        <v/>
      </c>
      <c r="CQ90" s="22" t="str">
        <f t="shared" si="11"/>
        <v/>
      </c>
      <c r="CR90" s="22" t="str">
        <f t="shared" si="12"/>
        <v/>
      </c>
      <c r="CS90" s="22" t="str">
        <f t="shared" si="13"/>
        <v/>
      </c>
    </row>
    <row r="91" spans="1:97" x14ac:dyDescent="0.3">
      <c r="A91" s="22" t="s">
        <v>190</v>
      </c>
      <c r="B91" s="22" t="s">
        <v>149</v>
      </c>
      <c r="D91" s="22" t="s">
        <v>163</v>
      </c>
      <c r="E91" t="s">
        <v>272</v>
      </c>
      <c r="F91" s="22">
        <v>119174</v>
      </c>
      <c r="G91" s="25" t="s">
        <v>167</v>
      </c>
      <c r="H91" s="142">
        <f>Tabel2[[#This Row],[pnt t/m 2021/22]]+Tabel2[[#This Row],[pnt 2022/2023]]</f>
        <v>442.7380952380953</v>
      </c>
      <c r="I91">
        <v>2011</v>
      </c>
      <c r="J91">
        <v>2022</v>
      </c>
      <c r="K91" s="24">
        <f>Tabel2[[#This Row],[ijkdatum]]-Tabel2[[#This Row],[Geboren]]</f>
        <v>11</v>
      </c>
      <c r="L91" s="26">
        <f>Tabel2[[#This Row],[TTL 1]]+Tabel2[[#This Row],[TTL 2]]+Tabel2[[#This Row],[TTL 3]]+Tabel2[[#This Row],[TTL 4]]+Tabel2[[#This Row],[TTL 5]]+Tabel2[[#This Row],[TTL 6]]+Tabel2[[#This Row],[TTL 7]]+Tabel2[[#This Row],[TTL 8]]+Tabel2[[#This Row],[TTL 9]]+Tabel2[[#This Row],[TTL 10]]</f>
        <v>0</v>
      </c>
      <c r="M91" s="141">
        <v>442.7380952380953</v>
      </c>
      <c r="O91">
        <v>1</v>
      </c>
      <c r="S91" s="23">
        <f>SUM(Tabel2[[#This Row],[V 1]]*10+Tabel2[[#This Row],[GT 1]])/Tabel2[[#This Row],[AW 1]]*10+Tabel2[[#This Row],[BONUS 1]]</f>
        <v>0</v>
      </c>
      <c r="U91">
        <v>1</v>
      </c>
      <c r="Y91" s="23">
        <f>SUM(Tabel2[[#This Row],[V 2]]*10+Tabel2[[#This Row],[GT 2]])/Tabel2[[#This Row],[AW 2]]*10+Tabel2[[#This Row],[BONUS 2]]</f>
        <v>0</v>
      </c>
      <c r="AA91">
        <v>1</v>
      </c>
      <c r="AE91" s="23">
        <f>SUM(Tabel2[[#This Row],[V 3]]*10+Tabel2[[#This Row],[GT 3]])/Tabel2[[#This Row],[AW 3]]*10+Tabel2[[#This Row],[BONUS 3]]</f>
        <v>0</v>
      </c>
      <c r="AG91">
        <v>1</v>
      </c>
      <c r="AK91" s="23">
        <f>SUM(Tabel2[[#This Row],[V 4]]*10+Tabel2[[#This Row],[GT 4]])/Tabel2[[#This Row],[AW 4]]*10+Tabel2[[#This Row],[BONUS 4]]</f>
        <v>0</v>
      </c>
      <c r="AM91">
        <v>1</v>
      </c>
      <c r="AQ91" s="23">
        <f>SUM(Tabel2[[#This Row],[V 5]]*10+Tabel2[[#This Row],[GT 5]])/Tabel2[[#This Row],[AW 5]]*10+Tabel2[[#This Row],[BONUS 5]]</f>
        <v>0</v>
      </c>
      <c r="AS91">
        <v>1</v>
      </c>
      <c r="AW91" s="23">
        <f>SUM(Tabel2[[#This Row],[V 6]]*10+Tabel2[[#This Row],[GT 6]])/Tabel2[[#This Row],[AW 6]]*10+Tabel2[[#This Row],[BONUS 6]]</f>
        <v>0</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10]])/2)/Tabel2[[#This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1" s="22">
        <v>250</v>
      </c>
      <c r="BX91" s="30">
        <f>Tabel2[[#This Row],[Diploma]]-Tabel2[[#This Row],[Uitgeschreven]]</f>
        <v>0</v>
      </c>
      <c r="BY91" s="2" t="str">
        <f t="shared" si="8"/>
        <v>geen actie</v>
      </c>
      <c r="CA91" s="150">
        <f>Tabel2[[#This Row],[pnt t/m 2021/22]]</f>
        <v>442.7380952380953</v>
      </c>
      <c r="CB91" s="150">
        <f>Tabel2[[#This Row],[pnt 2022/2023]]</f>
        <v>0</v>
      </c>
      <c r="CC91" s="150">
        <f t="shared" si="14"/>
        <v>442.7380952380953</v>
      </c>
      <c r="CD91" s="150">
        <f>IF(Tabel2[[#This Row],[LPR 1]]&gt;0,1,0)</f>
        <v>0</v>
      </c>
      <c r="CE91" s="150">
        <f>IF(Tabel2[[#This Row],[LPR 2]]&gt;0,1,0)</f>
        <v>0</v>
      </c>
      <c r="CF91" s="150">
        <f>IF(Tabel2[[#This Row],[LPR 3]]&gt;0,1,0)</f>
        <v>0</v>
      </c>
      <c r="CG91" s="150">
        <f>IF(Tabel2[[#This Row],[LPR 4]]&gt;0,1,0)</f>
        <v>0</v>
      </c>
      <c r="CH91" s="150">
        <f>IF(Tabel2[[#This Row],[LPR 5]]&gt;0,1,0)</f>
        <v>0</v>
      </c>
      <c r="CI91" s="150">
        <f>IF(Tabel2[[#This Row],[LPR 6]]&gt;0,1,0)</f>
        <v>0</v>
      </c>
      <c r="CJ91" s="150">
        <f>IF(Tabel2[[#This Row],[LPR 7]]&gt;0,1,0)</f>
        <v>0</v>
      </c>
      <c r="CK91" s="150">
        <f>IF(Tabel2[[#This Row],[LPR 8]]&gt;0,1,0)</f>
        <v>0</v>
      </c>
      <c r="CL91" s="150">
        <f>IF(Tabel2[[#This Row],[LPR 9]]&gt;0,1,0)</f>
        <v>0</v>
      </c>
      <c r="CM91" s="150">
        <f>IF(Tabel2[[#This Row],[LPR 10]]&gt;0,1,0)</f>
        <v>0</v>
      </c>
      <c r="CN91" s="150">
        <f>SUM(Tabel7[[#This Row],[sep]:[jun]])</f>
        <v>0</v>
      </c>
      <c r="CO91" s="22" t="str">
        <f t="shared" si="9"/>
        <v/>
      </c>
      <c r="CP91" s="22" t="str">
        <f t="shared" si="10"/>
        <v/>
      </c>
      <c r="CQ91" s="22" t="str">
        <f t="shared" si="11"/>
        <v/>
      </c>
      <c r="CR91" s="22" t="str">
        <f t="shared" si="12"/>
        <v/>
      </c>
      <c r="CS91" s="22" t="str">
        <f t="shared" si="13"/>
        <v/>
      </c>
    </row>
    <row r="92" spans="1:97" x14ac:dyDescent="0.3">
      <c r="A92" s="22" t="s">
        <v>148</v>
      </c>
      <c r="B92" s="22" t="s">
        <v>149</v>
      </c>
      <c r="D92" s="22" t="s">
        <v>163</v>
      </c>
      <c r="E92" t="s">
        <v>273</v>
      </c>
      <c r="F92" s="22">
        <v>118132</v>
      </c>
      <c r="G92" s="25" t="s">
        <v>274</v>
      </c>
      <c r="H92" s="23">
        <f>Tabel2[[#This Row],[pnt t/m 2021/22]]+Tabel2[[#This Row],[pnt 2022/2023]]</f>
        <v>50</v>
      </c>
      <c r="I92">
        <v>2010</v>
      </c>
      <c r="J92">
        <v>2022</v>
      </c>
      <c r="K92" s="24">
        <f>Tabel2[[#This Row],[ijkdatum]]-Tabel2[[#This Row],[Geboren]]</f>
        <v>12</v>
      </c>
      <c r="L92" s="26">
        <f>Tabel2[[#This Row],[TTL 1]]+Tabel2[[#This Row],[TTL 2]]+Tabel2[[#This Row],[TTL 3]]+Tabel2[[#This Row],[TTL 4]]+Tabel2[[#This Row],[TTL 5]]+Tabel2[[#This Row],[TTL 6]]+Tabel2[[#This Row],[TTL 7]]+Tabel2[[#This Row],[TTL 8]]+Tabel2[[#This Row],[TTL 9]]+Tabel2[[#This Row],[TTL 10]]</f>
        <v>0</v>
      </c>
      <c r="M92" s="153">
        <v>50</v>
      </c>
      <c r="O92">
        <v>1</v>
      </c>
      <c r="S92" s="153">
        <f>SUM(Tabel2[[#This Row],[V 1]]*10+Tabel2[[#This Row],[GT 1]])/Tabel2[[#This Row],[AW 1]]*10+Tabel2[[#This Row],[BONUS 1]]</f>
        <v>0</v>
      </c>
      <c r="U92">
        <v>1</v>
      </c>
      <c r="Y92" s="23">
        <f>SUM(Tabel2[[#This Row],[V 2]]*10+Tabel2[[#This Row],[GT 2]])/Tabel2[[#This Row],[AW 2]]*10+Tabel2[[#This Row],[BONUS 2]]</f>
        <v>0</v>
      </c>
      <c r="AA92">
        <v>1</v>
      </c>
      <c r="AE92" s="23">
        <f>SUM(Tabel2[[#This Row],[V 3]]*10+Tabel2[[#This Row],[GT 3]])/Tabel2[[#This Row],[AW 3]]*10+Tabel2[[#This Row],[BONUS 3]]</f>
        <v>0</v>
      </c>
      <c r="AG92">
        <v>1</v>
      </c>
      <c r="AK92" s="23">
        <f>SUM(Tabel2[[#This Row],[V 4]]*10+Tabel2[[#This Row],[GT 4]])/Tabel2[[#This Row],[AW 4]]*10+Tabel2[[#This Row],[BONUS 4]]</f>
        <v>0</v>
      </c>
      <c r="AM92">
        <v>1</v>
      </c>
      <c r="AQ92" s="23">
        <f>SUM(Tabel2[[#This Row],[V 5]]*10+Tabel2[[#This Row],[GT 5]])/Tabel2[[#This Row],[AW 5]]*10+Tabel2[[#This Row],[BONUS 5]]</f>
        <v>0</v>
      </c>
      <c r="AS92">
        <v>1</v>
      </c>
      <c r="AW92" s="23">
        <f>SUM(Tabel2[[#This Row],[V 6]]*10+Tabel2[[#This Row],[GT 6]])/Tabel2[[#This Row],[AW 6]]*10+Tabel2[[#This Row],[BONUS 6]]</f>
        <v>0</v>
      </c>
      <c r="AY92">
        <v>1</v>
      </c>
      <c r="BC92" s="23">
        <f>SUM(Tabel2[[#This Row],[V 7]]*10+Tabel2[[#This Row],[GT 7]])/Tabel2[[#This Row],[AW 7]]*10+Tabel2[[#This Row],[BONUS 7]]</f>
        <v>0</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2" s="22">
        <v>0</v>
      </c>
      <c r="BX92" s="22">
        <f>Tabel2[[#This Row],[Diploma]]-Tabel2[[#This Row],[Uitgeschreven]]</f>
        <v>0</v>
      </c>
      <c r="BY92" s="155" t="str">
        <f t="shared" si="8"/>
        <v>geen actie</v>
      </c>
      <c r="CA92" s="150">
        <f>Tabel2[[#This Row],[pnt t/m 2021/22]]</f>
        <v>50</v>
      </c>
      <c r="CB92" s="150">
        <f>Tabel2[[#This Row],[pnt 2022/2023]]</f>
        <v>0</v>
      </c>
      <c r="CC92" s="150">
        <f t="shared" si="14"/>
        <v>50</v>
      </c>
      <c r="CD92" s="150">
        <f>IF(Tabel2[[#This Row],[LPR 1]]&gt;0,1,0)</f>
        <v>0</v>
      </c>
      <c r="CE92" s="150">
        <f>IF(Tabel2[[#This Row],[LPR 2]]&gt;0,1,0)</f>
        <v>0</v>
      </c>
      <c r="CF92" s="150">
        <f>IF(Tabel2[[#This Row],[LPR 3]]&gt;0,1,0)</f>
        <v>0</v>
      </c>
      <c r="CG92" s="150">
        <f>IF(Tabel2[[#This Row],[LPR 4]]&gt;0,1,0)</f>
        <v>0</v>
      </c>
      <c r="CH92" s="150">
        <f>IF(Tabel2[[#This Row],[LPR 5]]&gt;0,1,0)</f>
        <v>0</v>
      </c>
      <c r="CI92" s="150">
        <f>IF(Tabel2[[#This Row],[LPR 6]]&gt;0,1,0)</f>
        <v>0</v>
      </c>
      <c r="CJ92" s="150">
        <f>IF(Tabel2[[#This Row],[LPR 7]]&gt;0,1,0)</f>
        <v>0</v>
      </c>
      <c r="CK92" s="150">
        <f>IF(Tabel2[[#This Row],[LPR 8]]&gt;0,1,0)</f>
        <v>0</v>
      </c>
      <c r="CL92" s="150">
        <f>IF(Tabel2[[#This Row],[LPR 9]]&gt;0,1,0)</f>
        <v>0</v>
      </c>
      <c r="CM92" s="150">
        <f>IF(Tabel2[[#This Row],[LPR 10]]&gt;0,1,0)</f>
        <v>0</v>
      </c>
      <c r="CN92" s="150">
        <f>SUM(Tabel7[[#This Row],[sep]:[jun]])</f>
        <v>0</v>
      </c>
      <c r="CO92" s="22" t="str">
        <f t="shared" si="9"/>
        <v/>
      </c>
      <c r="CP92" s="22" t="str">
        <f t="shared" si="10"/>
        <v/>
      </c>
      <c r="CQ92" s="22" t="str">
        <f t="shared" si="11"/>
        <v/>
      </c>
      <c r="CR92" s="22" t="str">
        <f t="shared" si="12"/>
        <v/>
      </c>
      <c r="CS92" s="22" t="str">
        <f t="shared" si="13"/>
        <v/>
      </c>
    </row>
    <row r="93" spans="1:97" x14ac:dyDescent="0.3">
      <c r="A93" s="22" t="s">
        <v>156</v>
      </c>
      <c r="B93" s="22" t="s">
        <v>149</v>
      </c>
      <c r="D93" s="22" t="s">
        <v>163</v>
      </c>
      <c r="E93" t="s">
        <v>275</v>
      </c>
      <c r="F93" s="22">
        <v>118519</v>
      </c>
      <c r="G93" s="25" t="s">
        <v>181</v>
      </c>
      <c r="H93" s="142">
        <f>Tabel2[[#This Row],[pnt t/m 2021/22]]+Tabel2[[#This Row],[pnt 2022/2023]]</f>
        <v>392.62770562770567</v>
      </c>
      <c r="I93">
        <v>2010</v>
      </c>
      <c r="J93">
        <v>2022</v>
      </c>
      <c r="K93" s="24">
        <f>Tabel2[[#This Row],[ijkdatum]]-Tabel2[[#This Row],[Geboren]]</f>
        <v>12</v>
      </c>
      <c r="L93" s="26">
        <f>Tabel2[[#This Row],[TTL 1]]+Tabel2[[#This Row],[TTL 2]]+Tabel2[[#This Row],[TTL 3]]+Tabel2[[#This Row],[TTL 4]]+Tabel2[[#This Row],[TTL 5]]+Tabel2[[#This Row],[TTL 6]]+Tabel2[[#This Row],[TTL 7]]+Tabel2[[#This Row],[TTL 8]]+Tabel2[[#This Row],[TTL 9]]+Tabel2[[#This Row],[TTL 10]]</f>
        <v>0</v>
      </c>
      <c r="M93" s="153">
        <v>392.62770562770567</v>
      </c>
      <c r="O93">
        <v>1</v>
      </c>
      <c r="S93" s="23">
        <f>SUM(Tabel2[[#This Row],[V 1]]*10+Tabel2[[#This Row],[GT 1]])/Tabel2[[#This Row],[AW 1]]*10+Tabel2[[#This Row],[BONUS 1]]</f>
        <v>0</v>
      </c>
      <c r="U93">
        <v>1</v>
      </c>
      <c r="Y93" s="23">
        <f>SUM(Tabel2[[#This Row],[V 2]]*10+Tabel2[[#This Row],[GT 2]])/Tabel2[[#This Row],[AW 2]]*10+Tabel2[[#This Row],[BONUS 2]]</f>
        <v>0</v>
      </c>
      <c r="AA93">
        <v>1</v>
      </c>
      <c r="AE93" s="23">
        <f>SUM(Tabel2[[#This Row],[V 3]]*10+Tabel2[[#This Row],[GT 3]])/Tabel2[[#This Row],[AW 3]]*10+Tabel2[[#This Row],[BONUS 3]]</f>
        <v>0</v>
      </c>
      <c r="AG93">
        <v>1</v>
      </c>
      <c r="AK93" s="23">
        <f>SUM(Tabel2[[#This Row],[V 4]]*10+Tabel2[[#This Row],[GT 4]])/Tabel2[[#This Row],[AW 4]]*10+Tabel2[[#This Row],[BONUS 4]]</f>
        <v>0</v>
      </c>
      <c r="AM93">
        <v>1</v>
      </c>
      <c r="AQ93" s="23">
        <f>SUM(Tabel2[[#This Row],[V 5]]*10+Tabel2[[#This Row],[GT 5]])/Tabel2[[#This Row],[AW 5]]*10+Tabel2[[#This Row],[BONUS 5]]</f>
        <v>0</v>
      </c>
      <c r="AS93">
        <v>1</v>
      </c>
      <c r="AW93" s="23">
        <f>SUM(Tabel2[[#This Row],[V 6]]*10+Tabel2[[#This Row],[GT 6]])/Tabel2[[#This Row],[AW 6]]*10+Tabel2[[#This Row],[BONUS 6]]</f>
        <v>0</v>
      </c>
      <c r="AY93">
        <v>1</v>
      </c>
      <c r="BC93" s="23">
        <f>SUM(Tabel2[[#This Row],[V 7]]*10+Tabel2[[#This Row],[GT 7]])/Tabel2[[#This Row],[AW 7]]*10+Tabel2[[#This Row],[BONUS 7]]</f>
        <v>0</v>
      </c>
      <c r="BE93">
        <v>1</v>
      </c>
      <c r="BI93" s="23">
        <f>SUM(Tabel2[[#This Row],[V 8]]*10+Tabel2[[#This Row],[GT 8]])/Tabel2[[#This Row],[AW 8]]*10+Tabel2[[#This Row],[BONUS 8]]</f>
        <v>0</v>
      </c>
      <c r="BK93">
        <v>1</v>
      </c>
      <c r="BO93" s="23">
        <f>SUM(Tabel2[[#This Row],[V 9]]*10+Tabel2[[#This Row],[GT 9]])/Tabel2[[#This Row],[AW 9]]*10+Tabel2[[#This Row],[BONUS 9]]</f>
        <v>0</v>
      </c>
      <c r="BQ93">
        <v>1</v>
      </c>
      <c r="BU93" s="23">
        <f>SUM(Tabel2[[#This Row],[V 10]]*10+Tabel2[[#This Row],[GT 10]])/Tabel2[[#This Row],[AW 10]]*10+Tabel2[[#This Row],[BONUS 10]]</f>
        <v>0</v>
      </c>
      <c r="BV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3" s="22">
        <v>250</v>
      </c>
      <c r="BX93" s="30">
        <f>Tabel2[[#This Row],[Diploma]]-Tabel2[[#This Row],[Uitgeschreven]]</f>
        <v>0</v>
      </c>
      <c r="BY93" s="2" t="str">
        <f t="shared" si="8"/>
        <v>geen actie</v>
      </c>
      <c r="CA93" s="150">
        <f>Tabel2[[#This Row],[pnt t/m 2021/22]]</f>
        <v>392.62770562770567</v>
      </c>
      <c r="CB93" s="150">
        <f>Tabel2[[#This Row],[pnt 2022/2023]]</f>
        <v>0</v>
      </c>
      <c r="CC93" s="150">
        <f t="shared" si="14"/>
        <v>392.62770562770567</v>
      </c>
      <c r="CD93" s="150">
        <f>IF(Tabel2[[#This Row],[LPR 1]]&gt;0,1,0)</f>
        <v>0</v>
      </c>
      <c r="CE93" s="150">
        <f>IF(Tabel2[[#This Row],[LPR 2]]&gt;0,1,0)</f>
        <v>0</v>
      </c>
      <c r="CF93" s="150">
        <f>IF(Tabel2[[#This Row],[LPR 3]]&gt;0,1,0)</f>
        <v>0</v>
      </c>
      <c r="CG93" s="150">
        <f>IF(Tabel2[[#This Row],[LPR 4]]&gt;0,1,0)</f>
        <v>0</v>
      </c>
      <c r="CH93" s="150">
        <f>IF(Tabel2[[#This Row],[LPR 5]]&gt;0,1,0)</f>
        <v>0</v>
      </c>
      <c r="CI93" s="150">
        <f>IF(Tabel2[[#This Row],[LPR 6]]&gt;0,1,0)</f>
        <v>0</v>
      </c>
      <c r="CJ93" s="150">
        <f>IF(Tabel2[[#This Row],[LPR 7]]&gt;0,1,0)</f>
        <v>0</v>
      </c>
      <c r="CK93" s="150">
        <f>IF(Tabel2[[#This Row],[LPR 8]]&gt;0,1,0)</f>
        <v>0</v>
      </c>
      <c r="CL93" s="150">
        <f>IF(Tabel2[[#This Row],[LPR 9]]&gt;0,1,0)</f>
        <v>0</v>
      </c>
      <c r="CM93" s="150">
        <f>IF(Tabel2[[#This Row],[LPR 10]]&gt;0,1,0)</f>
        <v>0</v>
      </c>
      <c r="CN93" s="150">
        <f>SUM(Tabel7[[#This Row],[sep]:[jun]])</f>
        <v>0</v>
      </c>
      <c r="CO93" s="22" t="str">
        <f t="shared" si="9"/>
        <v/>
      </c>
      <c r="CP93" s="22" t="str">
        <f t="shared" si="10"/>
        <v/>
      </c>
      <c r="CQ93" s="22" t="str">
        <f t="shared" si="11"/>
        <v/>
      </c>
      <c r="CR93" s="22" t="str">
        <f t="shared" si="12"/>
        <v/>
      </c>
      <c r="CS93" s="22" t="str">
        <f t="shared" si="13"/>
        <v/>
      </c>
    </row>
    <row r="94" spans="1:97" x14ac:dyDescent="0.3">
      <c r="A94" s="22" t="s">
        <v>173</v>
      </c>
      <c r="B94" s="22" t="s">
        <v>149</v>
      </c>
      <c r="D94" s="22" t="s">
        <v>150</v>
      </c>
      <c r="E94" t="s">
        <v>276</v>
      </c>
      <c r="F94" s="22">
        <v>119996</v>
      </c>
      <c r="G94" s="25" t="s">
        <v>198</v>
      </c>
      <c r="H94" s="23">
        <f>Tabel2[[#This Row],[pnt t/m 2021/22]]+Tabel2[[#This Row],[pnt 2022/2023]]</f>
        <v>559.22222222222217</v>
      </c>
      <c r="I94">
        <v>2012</v>
      </c>
      <c r="J94">
        <v>2022</v>
      </c>
      <c r="K94" s="24">
        <f>Tabel2[[#This Row],[ijkdatum]]-Tabel2[[#This Row],[Geboren]]</f>
        <v>10</v>
      </c>
      <c r="L94" s="26">
        <f>Tabel2[[#This Row],[TTL 1]]+Tabel2[[#This Row],[TTL 2]]+Tabel2[[#This Row],[TTL 3]]+Tabel2[[#This Row],[TTL 4]]+Tabel2[[#This Row],[TTL 5]]+Tabel2[[#This Row],[TTL 6]]+Tabel2[[#This Row],[TTL 7]]+Tabel2[[#This Row],[TTL 8]]+Tabel2[[#This Row],[TTL 9]]+Tabel2[[#This Row],[TTL 10]]</f>
        <v>291</v>
      </c>
      <c r="M94" s="153">
        <v>268.22222222222223</v>
      </c>
      <c r="N94">
        <v>4</v>
      </c>
      <c r="O94">
        <v>10</v>
      </c>
      <c r="P94">
        <v>6</v>
      </c>
      <c r="Q94">
        <v>32</v>
      </c>
      <c r="S94" s="153">
        <f>SUM(Tabel2[[#This Row],[V 1]]*10+Tabel2[[#This Row],[GT 1]])/Tabel2[[#This Row],[AW 1]]*10+Tabel2[[#This Row],[BONUS 1]]</f>
        <v>92</v>
      </c>
      <c r="T94">
        <v>3</v>
      </c>
      <c r="U94">
        <v>10</v>
      </c>
      <c r="V94">
        <v>7</v>
      </c>
      <c r="W94">
        <v>43</v>
      </c>
      <c r="Y94" s="153">
        <f>SUM(Tabel2[[#This Row],[V 2]]*10+Tabel2[[#This Row],[GT 2]])/Tabel2[[#This Row],[AW 2]]*10+Tabel2[[#This Row],[BONUS 2]]</f>
        <v>113</v>
      </c>
      <c r="Z94">
        <v>3</v>
      </c>
      <c r="AA94">
        <v>10</v>
      </c>
      <c r="AB94">
        <v>5</v>
      </c>
      <c r="AC94">
        <v>36</v>
      </c>
      <c r="AE94" s="23">
        <f>SUM(Tabel2[[#This Row],[V 3]]*10+Tabel2[[#This Row],[GT 3]])/Tabel2[[#This Row],[AW 3]]*10+Tabel2[[#This Row],[BONUS 3]]</f>
        <v>86</v>
      </c>
      <c r="AG94">
        <v>1</v>
      </c>
      <c r="AK94" s="153">
        <f>SUM(Tabel2[[#This Row],[V 4]]*10+Tabel2[[#This Row],[GT 4]])/Tabel2[[#This Row],[AW 4]]*10+Tabel2[[#This Row],[BONUS 4]]</f>
        <v>0</v>
      </c>
      <c r="AM94">
        <v>1</v>
      </c>
      <c r="AQ94" s="153">
        <f>SUM(Tabel2[[#This Row],[V 5]]*10+Tabel2[[#This Row],[GT 5]])/Tabel2[[#This Row],[AW 5]]*10+Tabel2[[#This Row],[BONUS 5]]</f>
        <v>0</v>
      </c>
      <c r="AS94">
        <v>1</v>
      </c>
      <c r="AW94" s="153">
        <f>SUM(Tabel2[[#This Row],[V 6]]*10+Tabel2[[#This Row],[GT 6]])/Tabel2[[#This Row],[AW 6]]*10+Tabel2[[#This Row],[BONUS 6]]</f>
        <v>0</v>
      </c>
      <c r="AY94">
        <v>1</v>
      </c>
      <c r="BC94" s="23">
        <f>SUM(Tabel2[[#This Row],[V 7]]*10+Tabel2[[#This Row],[GT 7]])/Tabel2[[#This Row],[AW 7]]*10+Tabel2[[#This Row],[BONUS 7]]</f>
        <v>0</v>
      </c>
      <c r="BE94">
        <v>1</v>
      </c>
      <c r="BI94" s="153">
        <f>SUM(Tabel2[[#This Row],[V 8]]*10+Tabel2[[#This Row],[GT 8]])/Tabel2[[#This Row],[AW 8]]*10+Tabel2[[#This Row],[BONUS 8]]</f>
        <v>0</v>
      </c>
      <c r="BK94">
        <v>1</v>
      </c>
      <c r="BO94" s="153">
        <f>SUM(Tabel2[[#This Row],[V 9]]*10+Tabel2[[#This Row],[GT 9]])/Tabel2[[#This Row],[AW 9]]*10+Tabel2[[#This Row],[BONUS 9]]</f>
        <v>0</v>
      </c>
      <c r="BQ94">
        <v>1</v>
      </c>
      <c r="BU94" s="23">
        <f>SUM(Tabel2[[#This Row],[V 10]]*10+Tabel2[[#This Row],[GT 10]])/Tabel2[[#This Row],[AW 10]]*10+Tabel2[[#This Row],[BONUS 10]]</f>
        <v>0</v>
      </c>
      <c r="BV9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4" s="22">
        <v>250</v>
      </c>
      <c r="BX94" s="22">
        <f>Tabel2[[#This Row],[Diploma]]-Tabel2[[#This Row],[Uitgeschreven]]</f>
        <v>250</v>
      </c>
      <c r="BY94" s="155" t="str">
        <f t="shared" si="8"/>
        <v>diploma uitschrijven: 500 punten</v>
      </c>
      <c r="CA94" s="150">
        <f>Tabel2[[#This Row],[pnt t/m 2021/22]]</f>
        <v>268.22222222222223</v>
      </c>
      <c r="CB94" s="150">
        <f>Tabel2[[#This Row],[pnt 2022/2023]]</f>
        <v>291</v>
      </c>
      <c r="CC94" s="150">
        <f t="shared" si="14"/>
        <v>559.22222222222217</v>
      </c>
      <c r="CD94" s="150">
        <f>IF(Tabel2[[#This Row],[LPR 1]]&gt;0,1,0)</f>
        <v>1</v>
      </c>
      <c r="CE94" s="150">
        <f>IF(Tabel2[[#This Row],[LPR 2]]&gt;0,1,0)</f>
        <v>1</v>
      </c>
      <c r="CF94" s="150">
        <f>IF(Tabel2[[#This Row],[LPR 3]]&gt;0,1,0)</f>
        <v>1</v>
      </c>
      <c r="CG94" s="150">
        <f>IF(Tabel2[[#This Row],[LPR 4]]&gt;0,1,0)</f>
        <v>0</v>
      </c>
      <c r="CH94" s="150">
        <f>IF(Tabel2[[#This Row],[LPR 5]]&gt;0,1,0)</f>
        <v>0</v>
      </c>
      <c r="CI94" s="150">
        <f>IF(Tabel2[[#This Row],[LPR 6]]&gt;0,1,0)</f>
        <v>0</v>
      </c>
      <c r="CJ94" s="150">
        <f>IF(Tabel2[[#This Row],[LPR 7]]&gt;0,1,0)</f>
        <v>0</v>
      </c>
      <c r="CK94" s="150">
        <f>IF(Tabel2[[#This Row],[LPR 8]]&gt;0,1,0)</f>
        <v>0</v>
      </c>
      <c r="CL94" s="150">
        <f>IF(Tabel2[[#This Row],[LPR 9]]&gt;0,1,0)</f>
        <v>0</v>
      </c>
      <c r="CM94" s="150">
        <f>IF(Tabel2[[#This Row],[LPR 10]]&gt;0,1,0)</f>
        <v>0</v>
      </c>
      <c r="CN94" s="150">
        <f>SUM(Tabel7[[#This Row],[sep]:[jun]])</f>
        <v>3</v>
      </c>
      <c r="CO94" s="22" t="str">
        <f t="shared" si="9"/>
        <v/>
      </c>
      <c r="CP94" s="22" t="str">
        <f t="shared" si="10"/>
        <v/>
      </c>
      <c r="CQ94" s="22" t="str">
        <f t="shared" si="11"/>
        <v/>
      </c>
      <c r="CR94" s="22" t="str">
        <f t="shared" si="12"/>
        <v/>
      </c>
      <c r="CS94" s="22" t="str">
        <f t="shared" si="13"/>
        <v/>
      </c>
    </row>
    <row r="95" spans="1:97" x14ac:dyDescent="0.3">
      <c r="A95" s="22" t="s">
        <v>190</v>
      </c>
      <c r="B95" s="22" t="s">
        <v>149</v>
      </c>
      <c r="D95" s="22" t="s">
        <v>150</v>
      </c>
      <c r="E95" t="s">
        <v>277</v>
      </c>
      <c r="F95" s="22">
        <v>119120</v>
      </c>
      <c r="G95" s="25" t="s">
        <v>187</v>
      </c>
      <c r="H95" s="142">
        <f>Tabel2[[#This Row],[pnt t/m 2021/22]]+Tabel2[[#This Row],[pnt 2022/2023]]</f>
        <v>1985.1336473983533</v>
      </c>
      <c r="I95">
        <v>2012</v>
      </c>
      <c r="J95">
        <v>2022</v>
      </c>
      <c r="K95" s="24">
        <f>Tabel2[[#This Row],[ijkdatum]]-Tabel2[[#This Row],[Geboren]]</f>
        <v>10</v>
      </c>
      <c r="L95" s="26">
        <f>Tabel2[[#This Row],[TTL 1]]+Tabel2[[#This Row],[TTL 2]]+Tabel2[[#This Row],[TTL 3]]+Tabel2[[#This Row],[TTL 4]]+Tabel2[[#This Row],[TTL 5]]+Tabel2[[#This Row],[TTL 6]]+Tabel2[[#This Row],[TTL 7]]+Tabel2[[#This Row],[TTL 8]]+Tabel2[[#This Row],[TTL 9]]+Tabel2[[#This Row],[TTL 10]]</f>
        <v>408.34558823529414</v>
      </c>
      <c r="M95" s="141">
        <v>1576.7880591630592</v>
      </c>
      <c r="N95">
        <v>10</v>
      </c>
      <c r="O95">
        <v>16</v>
      </c>
      <c r="P95">
        <v>10</v>
      </c>
      <c r="Q95">
        <v>63</v>
      </c>
      <c r="R95">
        <v>100</v>
      </c>
      <c r="S95" s="23">
        <f>SUM(Tabel2[[#This Row],[V 1]]*10+Tabel2[[#This Row],[GT 1]])/Tabel2[[#This Row],[AW 1]]*10+Tabel2[[#This Row],[BONUS 1]]</f>
        <v>201.875</v>
      </c>
      <c r="U95">
        <v>1</v>
      </c>
      <c r="Y95" s="23">
        <f>SUM(Tabel2[[#This Row],[V 2]]*10+Tabel2[[#This Row],[GT 2]])/Tabel2[[#This Row],[AW 2]]*10+Tabel2[[#This Row],[BONUS 2]]</f>
        <v>0</v>
      </c>
      <c r="Z95">
        <v>9</v>
      </c>
      <c r="AA95">
        <v>17</v>
      </c>
      <c r="AB95">
        <v>11</v>
      </c>
      <c r="AC95">
        <v>71</v>
      </c>
      <c r="AD95">
        <v>100</v>
      </c>
      <c r="AE95" s="23">
        <f>SUM(Tabel2[[#This Row],[V 3]]*10+Tabel2[[#This Row],[GT 3]])/Tabel2[[#This Row],[AW 3]]*10+Tabel2[[#This Row],[BONUS 3]]</f>
        <v>206.47058823529412</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5" s="22">
        <v>1500</v>
      </c>
      <c r="BX95" s="30">
        <f>Tabel2[[#This Row],[Diploma]]-Tabel2[[#This Row],[Uitgeschreven]]</f>
        <v>0</v>
      </c>
      <c r="BY95" s="2" t="str">
        <f t="shared" si="8"/>
        <v>geen actie</v>
      </c>
      <c r="CA95" s="150">
        <f>Tabel2[[#This Row],[pnt t/m 2021/22]]</f>
        <v>1576.7880591630592</v>
      </c>
      <c r="CB95" s="150">
        <f>Tabel2[[#This Row],[pnt 2022/2023]]</f>
        <v>408.34558823529414</v>
      </c>
      <c r="CC95" s="150">
        <f t="shared" si="14"/>
        <v>1985.1336473983533</v>
      </c>
      <c r="CD95" s="150">
        <f>IF(Tabel2[[#This Row],[LPR 1]]&gt;0,1,0)</f>
        <v>1</v>
      </c>
      <c r="CE95" s="150">
        <f>IF(Tabel2[[#This Row],[LPR 2]]&gt;0,1,0)</f>
        <v>0</v>
      </c>
      <c r="CF95" s="150">
        <f>IF(Tabel2[[#This Row],[LPR 3]]&gt;0,1,0)</f>
        <v>1</v>
      </c>
      <c r="CG95" s="150">
        <f>IF(Tabel2[[#This Row],[LPR 4]]&gt;0,1,0)</f>
        <v>0</v>
      </c>
      <c r="CH95" s="150">
        <f>IF(Tabel2[[#This Row],[LPR 5]]&gt;0,1,0)</f>
        <v>0</v>
      </c>
      <c r="CI95" s="150">
        <f>IF(Tabel2[[#This Row],[LPR 6]]&gt;0,1,0)</f>
        <v>0</v>
      </c>
      <c r="CJ95" s="150">
        <f>IF(Tabel2[[#This Row],[LPR 7]]&gt;0,1,0)</f>
        <v>0</v>
      </c>
      <c r="CK95" s="150">
        <f>IF(Tabel2[[#This Row],[LPR 8]]&gt;0,1,0)</f>
        <v>0</v>
      </c>
      <c r="CL95" s="150">
        <f>IF(Tabel2[[#This Row],[LPR 9]]&gt;0,1,0)</f>
        <v>0</v>
      </c>
      <c r="CM95" s="150">
        <f>IF(Tabel2[[#This Row],[LPR 10]]&gt;0,1,0)</f>
        <v>0</v>
      </c>
      <c r="CN95" s="150">
        <f>SUM(Tabel7[[#This Row],[sep]:[jun]])</f>
        <v>2</v>
      </c>
      <c r="CO95" s="22" t="str">
        <f t="shared" si="9"/>
        <v/>
      </c>
      <c r="CP95" s="22" t="str">
        <f t="shared" si="10"/>
        <v/>
      </c>
      <c r="CQ95" s="22" t="str">
        <f t="shared" si="11"/>
        <v/>
      </c>
      <c r="CR95" s="22" t="str">
        <f t="shared" si="12"/>
        <v/>
      </c>
      <c r="CS95" s="22" t="str">
        <f t="shared" si="13"/>
        <v/>
      </c>
    </row>
    <row r="96" spans="1:97" x14ac:dyDescent="0.3">
      <c r="A96" s="22" t="s">
        <v>159</v>
      </c>
      <c r="B96" s="22" t="s">
        <v>157</v>
      </c>
      <c r="D96" s="22" t="s">
        <v>163</v>
      </c>
      <c r="E96" t="s">
        <v>278</v>
      </c>
      <c r="F96" s="22">
        <v>120221</v>
      </c>
      <c r="G96" s="25" t="s">
        <v>183</v>
      </c>
      <c r="H96" s="142">
        <f>Tabel2[[#This Row],[pnt t/m 2021/22]]+Tabel2[[#This Row],[pnt 2022/2023]]</f>
        <v>0</v>
      </c>
      <c r="I96">
        <v>2006</v>
      </c>
      <c r="J96">
        <v>2023</v>
      </c>
      <c r="K96" s="24">
        <f>Tabel2[[#This Row],[ijkdatum]]-Tabel2[[#This Row],[Geboren]]</f>
        <v>17</v>
      </c>
      <c r="L96" s="26">
        <f>Tabel2[[#This Row],[TTL 1]]+Tabel2[[#This Row],[TTL 2]]+Tabel2[[#This Row],[TTL 3]]+Tabel2[[#This Row],[TTL 4]]+Tabel2[[#This Row],[TTL 5]]+Tabel2[[#This Row],[TTL 6]]+Tabel2[[#This Row],[TTL 7]]+Tabel2[[#This Row],[TTL 8]]+Tabel2[[#This Row],[TTL 9]]+Tabel2[[#This Row],[TTL 10]]</f>
        <v>0</v>
      </c>
      <c r="M96" s="141"/>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6" s="22">
        <v>0</v>
      </c>
      <c r="BX96" s="30">
        <f>Tabel2[[#This Row],[Diploma]]-Tabel2[[#This Row],[Uitgeschreven]]</f>
        <v>0</v>
      </c>
      <c r="BY96" s="2" t="str">
        <f t="shared" si="8"/>
        <v>geen actie</v>
      </c>
      <c r="CA96" s="150">
        <f>Tabel2[[#This Row],[pnt t/m 2021/22]]</f>
        <v>0</v>
      </c>
      <c r="CB96" s="150">
        <f>Tabel2[[#This Row],[pnt 2022/2023]]</f>
        <v>0</v>
      </c>
      <c r="CC96" s="150">
        <f t="shared" si="14"/>
        <v>0</v>
      </c>
      <c r="CD96" s="150">
        <f>IF(Tabel2[[#This Row],[LPR 1]]&gt;0,1,0)</f>
        <v>0</v>
      </c>
      <c r="CE96" s="150">
        <f>IF(Tabel2[[#This Row],[LPR 2]]&gt;0,1,0)</f>
        <v>0</v>
      </c>
      <c r="CF96" s="150">
        <f>IF(Tabel2[[#This Row],[LPR 3]]&gt;0,1,0)</f>
        <v>0</v>
      </c>
      <c r="CG96" s="150">
        <f>IF(Tabel2[[#This Row],[LPR 4]]&gt;0,1,0)</f>
        <v>0</v>
      </c>
      <c r="CH96" s="150">
        <f>IF(Tabel2[[#This Row],[LPR 5]]&gt;0,1,0)</f>
        <v>0</v>
      </c>
      <c r="CI96" s="150">
        <f>IF(Tabel2[[#This Row],[LPR 6]]&gt;0,1,0)</f>
        <v>0</v>
      </c>
      <c r="CJ96" s="150">
        <f>IF(Tabel2[[#This Row],[LPR 7]]&gt;0,1,0)</f>
        <v>0</v>
      </c>
      <c r="CK96" s="150">
        <f>IF(Tabel2[[#This Row],[LPR 8]]&gt;0,1,0)</f>
        <v>0</v>
      </c>
      <c r="CL96" s="150">
        <f>IF(Tabel2[[#This Row],[LPR 9]]&gt;0,1,0)</f>
        <v>0</v>
      </c>
      <c r="CM96" s="150">
        <f>IF(Tabel2[[#This Row],[LPR 10]]&gt;0,1,0)</f>
        <v>0</v>
      </c>
      <c r="CN96" s="150">
        <f>SUM(Tabel7[[#This Row],[sep]:[jun]])</f>
        <v>0</v>
      </c>
      <c r="CO96" s="22" t="str">
        <f t="shared" si="9"/>
        <v/>
      </c>
      <c r="CP96" s="22" t="str">
        <f t="shared" si="10"/>
        <v/>
      </c>
      <c r="CQ96" s="22" t="str">
        <f t="shared" si="11"/>
        <v/>
      </c>
      <c r="CR96" s="22" t="str">
        <f t="shared" si="12"/>
        <v/>
      </c>
      <c r="CS96" s="22" t="str">
        <f t="shared" si="13"/>
        <v/>
      </c>
    </row>
    <row r="97" spans="1:97" x14ac:dyDescent="0.3">
      <c r="A97" s="22" t="s">
        <v>173</v>
      </c>
      <c r="B97" s="22" t="s">
        <v>149</v>
      </c>
      <c r="D97" s="22" t="s">
        <v>150</v>
      </c>
      <c r="E97" t="s">
        <v>279</v>
      </c>
      <c r="F97" s="22">
        <v>120525</v>
      </c>
      <c r="G97" s="25" t="s">
        <v>198</v>
      </c>
      <c r="H97" s="142">
        <f>Tabel2[[#This Row],[pnt t/m 2021/22]]+Tabel2[[#This Row],[pnt 2022/2023]]</f>
        <v>427.77777777777777</v>
      </c>
      <c r="I97">
        <v>2014</v>
      </c>
      <c r="J97">
        <v>2022</v>
      </c>
      <c r="K97" s="24">
        <f>Tabel2[[#This Row],[ijkdatum]]-Tabel2[[#This Row],[Geboren]]</f>
        <v>8</v>
      </c>
      <c r="L97" s="26">
        <f>Tabel2[[#This Row],[TTL 1]]+Tabel2[[#This Row],[TTL 2]]+Tabel2[[#This Row],[TTL 3]]+Tabel2[[#This Row],[TTL 4]]+Tabel2[[#This Row],[TTL 5]]+Tabel2[[#This Row],[TTL 6]]+Tabel2[[#This Row],[TTL 7]]+Tabel2[[#This Row],[TTL 8]]+Tabel2[[#This Row],[TTL 9]]+Tabel2[[#This Row],[TTL 10]]</f>
        <v>191.77777777777777</v>
      </c>
      <c r="M97" s="153">
        <v>236</v>
      </c>
      <c r="N97">
        <v>4</v>
      </c>
      <c r="O97">
        <v>9</v>
      </c>
      <c r="P97">
        <v>1</v>
      </c>
      <c r="Q97">
        <v>25</v>
      </c>
      <c r="S97" s="153">
        <f>SUM(Tabel2[[#This Row],[V 1]]*10+Tabel2[[#This Row],[GT 1]])/Tabel2[[#This Row],[AW 1]]*10+Tabel2[[#This Row],[BONUS 1]]</f>
        <v>38.888888888888886</v>
      </c>
      <c r="T97">
        <v>3</v>
      </c>
      <c r="U97">
        <v>10</v>
      </c>
      <c r="V97">
        <v>1</v>
      </c>
      <c r="W97">
        <v>34</v>
      </c>
      <c r="Y97" s="153">
        <f>SUM(Tabel2[[#This Row],[V 2]]*10+Tabel2[[#This Row],[GT 2]])/Tabel2[[#This Row],[AW 2]]*10+Tabel2[[#This Row],[BONUS 2]]</f>
        <v>44</v>
      </c>
      <c r="Z97">
        <v>3</v>
      </c>
      <c r="AA97">
        <v>9</v>
      </c>
      <c r="AB97">
        <v>6</v>
      </c>
      <c r="AC97">
        <v>38</v>
      </c>
      <c r="AE97" s="23">
        <f>SUM(Tabel2[[#This Row],[V 3]]*10+Tabel2[[#This Row],[GT 3]])/Tabel2[[#This Row],[AW 3]]*10+Tabel2[[#This Row],[BONUS 3]]</f>
        <v>108.88888888888889</v>
      </c>
      <c r="AG97">
        <v>1</v>
      </c>
      <c r="AK97" s="153">
        <f>SUM(Tabel2[[#This Row],[V 4]]*10+Tabel2[[#This Row],[GT 4]])/Tabel2[[#This Row],[AW 4]]*10+Tabel2[[#This Row],[BONUS 4]]</f>
        <v>0</v>
      </c>
      <c r="AM97">
        <v>1</v>
      </c>
      <c r="AQ97" s="153">
        <f>SUM(Tabel2[[#This Row],[V 5]]*10+Tabel2[[#This Row],[GT 5]])/Tabel2[[#This Row],[AW 5]]*10+Tabel2[[#This Row],[BONUS 5]]</f>
        <v>0</v>
      </c>
      <c r="AS97">
        <v>1</v>
      </c>
      <c r="AW97" s="153">
        <f>SUM(Tabel2[[#This Row],[V 6]]*10+Tabel2[[#This Row],[GT 6]])/Tabel2[[#This Row],[AW 6]]*10+Tabel2[[#This Row],[BONUS 6]]</f>
        <v>0</v>
      </c>
      <c r="AY97">
        <v>1</v>
      </c>
      <c r="BC97" s="23">
        <f>SUM(Tabel2[[#This Row],[V 7]]*10+Tabel2[[#This Row],[GT 7]])/Tabel2[[#This Row],[AW 7]]*10+Tabel2[[#This Row],[BONUS 7]]</f>
        <v>0</v>
      </c>
      <c r="BE97">
        <v>1</v>
      </c>
      <c r="BI97" s="153">
        <f>SUM(Tabel2[[#This Row],[V 8]]*10+Tabel2[[#This Row],[GT 8]])/Tabel2[[#This Row],[AW 8]]*10+Tabel2[[#This Row],[BONUS 8]]</f>
        <v>0</v>
      </c>
      <c r="BK97">
        <v>1</v>
      </c>
      <c r="BO97" s="153">
        <f>SUM(Tabel2[[#This Row],[V 9]]*10+Tabel2[[#This Row],[GT 9]])/Tabel2[[#This Row],[AW 9]]*10+Tabel2[[#This Row],[BONUS 9]]</f>
        <v>0</v>
      </c>
      <c r="BQ97">
        <v>1</v>
      </c>
      <c r="BU97" s="23">
        <f>SUM(Tabel2[[#This Row],[V 10]]*10+Tabel2[[#This Row],[GT 10]])/Tabel2[[#This Row],[AW 10]]*10+Tabel2[[#This Row],[BONUS 10]]</f>
        <v>0</v>
      </c>
      <c r="BV9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7" s="22">
        <v>250</v>
      </c>
      <c r="BX97" s="22">
        <f>Tabel2[[#This Row],[Diploma]]-Tabel2[[#This Row],[Uitgeschreven]]</f>
        <v>0</v>
      </c>
      <c r="BY97" s="155" t="str">
        <f t="shared" si="8"/>
        <v>geen actie</v>
      </c>
      <c r="CA97" s="150">
        <f>Tabel2[[#This Row],[pnt t/m 2021/22]]</f>
        <v>236</v>
      </c>
      <c r="CB97" s="150">
        <f>Tabel2[[#This Row],[pnt 2022/2023]]</f>
        <v>191.77777777777777</v>
      </c>
      <c r="CC97" s="150">
        <f t="shared" si="14"/>
        <v>427.77777777777777</v>
      </c>
      <c r="CD97" s="150">
        <f>IF(Tabel2[[#This Row],[LPR 1]]&gt;0,1,0)</f>
        <v>1</v>
      </c>
      <c r="CE97" s="150">
        <f>IF(Tabel2[[#This Row],[LPR 2]]&gt;0,1,0)</f>
        <v>1</v>
      </c>
      <c r="CF97" s="150">
        <f>IF(Tabel2[[#This Row],[LPR 3]]&gt;0,1,0)</f>
        <v>1</v>
      </c>
      <c r="CG97" s="150">
        <f>IF(Tabel2[[#This Row],[LPR 4]]&gt;0,1,0)</f>
        <v>0</v>
      </c>
      <c r="CH97" s="150">
        <f>IF(Tabel2[[#This Row],[LPR 5]]&gt;0,1,0)</f>
        <v>0</v>
      </c>
      <c r="CI97" s="150">
        <f>IF(Tabel2[[#This Row],[LPR 6]]&gt;0,1,0)</f>
        <v>0</v>
      </c>
      <c r="CJ97" s="150">
        <f>IF(Tabel2[[#This Row],[LPR 7]]&gt;0,1,0)</f>
        <v>0</v>
      </c>
      <c r="CK97" s="150">
        <f>IF(Tabel2[[#This Row],[LPR 8]]&gt;0,1,0)</f>
        <v>0</v>
      </c>
      <c r="CL97" s="150">
        <f>IF(Tabel2[[#This Row],[LPR 9]]&gt;0,1,0)</f>
        <v>0</v>
      </c>
      <c r="CM97" s="150">
        <f>IF(Tabel2[[#This Row],[LPR 10]]&gt;0,1,0)</f>
        <v>0</v>
      </c>
      <c r="CN97" s="150">
        <f>SUM(Tabel7[[#This Row],[sep]:[jun]])</f>
        <v>3</v>
      </c>
      <c r="CO97" s="22" t="str">
        <f t="shared" si="9"/>
        <v/>
      </c>
      <c r="CP97" s="22" t="str">
        <f t="shared" si="10"/>
        <v/>
      </c>
      <c r="CQ97" s="22" t="str">
        <f t="shared" si="11"/>
        <v/>
      </c>
      <c r="CR97" s="22" t="str">
        <f t="shared" si="12"/>
        <v/>
      </c>
      <c r="CS97" s="22" t="str">
        <f t="shared" si="13"/>
        <v/>
      </c>
    </row>
    <row r="98" spans="1:97" x14ac:dyDescent="0.3">
      <c r="A98" s="22" t="s">
        <v>148</v>
      </c>
      <c r="B98" s="22" t="s">
        <v>149</v>
      </c>
      <c r="D98" s="22" t="s">
        <v>163</v>
      </c>
      <c r="E98" t="s">
        <v>280</v>
      </c>
      <c r="F98" s="22">
        <v>117370</v>
      </c>
      <c r="G98" s="25" t="s">
        <v>201</v>
      </c>
      <c r="H98" s="142">
        <f>Tabel2[[#This Row],[pnt t/m 2021/22]]+Tabel2[[#This Row],[pnt 2022/2023]]</f>
        <v>1024.4444444444443</v>
      </c>
      <c r="I98">
        <v>2007</v>
      </c>
      <c r="J98">
        <v>2022</v>
      </c>
      <c r="K98" s="24">
        <f>Tabel2[[#This Row],[ijkdatum]]-Tabel2[[#This Row],[Geboren]]</f>
        <v>15</v>
      </c>
      <c r="L98" s="26">
        <f>Tabel2[[#This Row],[TTL 1]]+Tabel2[[#This Row],[TTL 2]]+Tabel2[[#This Row],[TTL 3]]+Tabel2[[#This Row],[TTL 4]]+Tabel2[[#This Row],[TTL 5]]+Tabel2[[#This Row],[TTL 6]]+Tabel2[[#This Row],[TTL 7]]+Tabel2[[#This Row],[TTL 8]]+Tabel2[[#This Row],[TTL 9]]+Tabel2[[#This Row],[TTL 10]]</f>
        <v>0</v>
      </c>
      <c r="M98" s="151">
        <v>1024.4444444444443</v>
      </c>
      <c r="O98">
        <v>1</v>
      </c>
      <c r="S98" s="23">
        <f>SUM(Tabel2[[#This Row],[V 1]]*10+Tabel2[[#This Row],[GT 1]])/Tabel2[[#This Row],[AW 1]]*10+Tabel2[[#This Row],[BONUS 1]]</f>
        <v>0</v>
      </c>
      <c r="U98">
        <v>1</v>
      </c>
      <c r="Y98" s="23">
        <f>SUM(Tabel2[[#This Row],[V 2]]*10+Tabel2[[#This Row],[GT 2]])/Tabel2[[#This Row],[AW 2]]*10+Tabel2[[#This Row],[BONUS 2]]</f>
        <v>0</v>
      </c>
      <c r="AA98">
        <v>1</v>
      </c>
      <c r="AE98" s="23">
        <f>SUM(Tabel2[[#This Row],[V 3]]*10+Tabel2[[#This Row],[GT 3]])/Tabel2[[#This Row],[AW 3]]*10+Tabel2[[#This Row],[BONUS 3]]</f>
        <v>0</v>
      </c>
      <c r="AG98">
        <v>1</v>
      </c>
      <c r="AK98" s="23">
        <f>SUM(Tabel2[[#This Row],[V 4]]*10+Tabel2[[#This Row],[GT 4]])/Tabel2[[#This Row],[AW 4]]*10+Tabel2[[#This Row],[BONUS 4]]</f>
        <v>0</v>
      </c>
      <c r="AM98">
        <v>1</v>
      </c>
      <c r="AQ98" s="23">
        <f>SUM(Tabel2[[#This Row],[V 5]]*10+Tabel2[[#This Row],[GT 5]])/Tabel2[[#This Row],[AW 5]]*10+Tabel2[[#This Row],[BONUS 5]]</f>
        <v>0</v>
      </c>
      <c r="AS98">
        <v>1</v>
      </c>
      <c r="AW98" s="23">
        <f>SUM(Tabel2[[#This Row],[V 6]]*10+Tabel2[[#This Row],[GT 6]])/Tabel2[[#This Row],[AW 6]]*10+Tabel2[[#This Row],[BONUS 6]]</f>
        <v>0</v>
      </c>
      <c r="AY98">
        <v>1</v>
      </c>
      <c r="BC98" s="23">
        <f>SUM(Tabel2[[#This Row],[V 7]]*10+Tabel2[[#This Row],[GT 7]])/Tabel2[[#This Row],[AW 7]]*10+Tabel2[[#This Row],[BONUS 7]]</f>
        <v>0</v>
      </c>
      <c r="BE98">
        <v>1</v>
      </c>
      <c r="BI98" s="23">
        <f>SUM(Tabel2[[#This Row],[V 8]]*10+Tabel2[[#This Row],[GT 8]])/Tabel2[[#This Row],[AW 8]]*10+Tabel2[[#This Row],[BONUS 8]]</f>
        <v>0</v>
      </c>
      <c r="BK98">
        <v>1</v>
      </c>
      <c r="BO98" s="23">
        <f>SUM(Tabel2[[#This Row],[V 9]]*10+Tabel2[[#This Row],[GT 9]])/Tabel2[[#This Row],[AW 9]]*10+Tabel2[[#This Row],[BONUS 9]]</f>
        <v>0</v>
      </c>
      <c r="BQ98">
        <v>1</v>
      </c>
      <c r="BU98" s="23">
        <f>SUM(Tabel2[[#This Row],[V 10]]*10+Tabel2[[#This Row],[GT 10]])/Tabel2[[#This Row],[AW 10]]*10+Tabel2[[#This Row],[BONUS 10]]</f>
        <v>0</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98" s="22">
        <v>1000</v>
      </c>
      <c r="BX98" s="30">
        <f>Tabel2[[#This Row],[Diploma]]-Tabel2[[#This Row],[Uitgeschreven]]</f>
        <v>0</v>
      </c>
      <c r="BY98" s="2" t="str">
        <f t="shared" si="8"/>
        <v>geen actie</v>
      </c>
      <c r="CA98" s="150">
        <f>Tabel2[[#This Row],[pnt t/m 2021/22]]</f>
        <v>1024.4444444444443</v>
      </c>
      <c r="CB98" s="150">
        <f>Tabel2[[#This Row],[pnt 2022/2023]]</f>
        <v>0</v>
      </c>
      <c r="CC98" s="150">
        <f t="shared" si="14"/>
        <v>1024.4444444444443</v>
      </c>
      <c r="CD98" s="150">
        <f>IF(Tabel2[[#This Row],[LPR 1]]&gt;0,1,0)</f>
        <v>0</v>
      </c>
      <c r="CE98" s="150">
        <f>IF(Tabel2[[#This Row],[LPR 2]]&gt;0,1,0)</f>
        <v>0</v>
      </c>
      <c r="CF98" s="150">
        <f>IF(Tabel2[[#This Row],[LPR 3]]&gt;0,1,0)</f>
        <v>0</v>
      </c>
      <c r="CG98" s="150">
        <f>IF(Tabel2[[#This Row],[LPR 4]]&gt;0,1,0)</f>
        <v>0</v>
      </c>
      <c r="CH98" s="150">
        <f>IF(Tabel2[[#This Row],[LPR 5]]&gt;0,1,0)</f>
        <v>0</v>
      </c>
      <c r="CI98" s="150">
        <f>IF(Tabel2[[#This Row],[LPR 6]]&gt;0,1,0)</f>
        <v>0</v>
      </c>
      <c r="CJ98" s="150">
        <f>IF(Tabel2[[#This Row],[LPR 7]]&gt;0,1,0)</f>
        <v>0</v>
      </c>
      <c r="CK98" s="150">
        <f>IF(Tabel2[[#This Row],[LPR 8]]&gt;0,1,0)</f>
        <v>0</v>
      </c>
      <c r="CL98" s="150">
        <f>IF(Tabel2[[#This Row],[LPR 9]]&gt;0,1,0)</f>
        <v>0</v>
      </c>
      <c r="CM98" s="150">
        <f>IF(Tabel2[[#This Row],[LPR 10]]&gt;0,1,0)</f>
        <v>0</v>
      </c>
      <c r="CN98" s="150">
        <f>SUM(Tabel7[[#This Row],[sep]:[jun]])</f>
        <v>0</v>
      </c>
      <c r="CO98" s="22" t="str">
        <f t="shared" si="9"/>
        <v/>
      </c>
      <c r="CP98" s="22" t="str">
        <f t="shared" si="10"/>
        <v/>
      </c>
      <c r="CQ98" s="22" t="str">
        <f t="shared" si="11"/>
        <v/>
      </c>
      <c r="CR98" s="22" t="str">
        <f t="shared" si="12"/>
        <v/>
      </c>
      <c r="CS98" s="22" t="str">
        <f t="shared" si="13"/>
        <v/>
      </c>
    </row>
    <row r="99" spans="1:97" x14ac:dyDescent="0.3">
      <c r="A99" s="22" t="s">
        <v>148</v>
      </c>
      <c r="B99" s="22" t="s">
        <v>149</v>
      </c>
      <c r="D99" s="22" t="s">
        <v>150</v>
      </c>
      <c r="E99" t="s">
        <v>281</v>
      </c>
      <c r="F99" s="22">
        <v>117369</v>
      </c>
      <c r="G99" s="25" t="s">
        <v>201</v>
      </c>
      <c r="H99" s="142">
        <f>Tabel2[[#This Row],[pnt t/m 2021/22]]+Tabel2[[#This Row],[pnt 2022/2023]]</f>
        <v>1998.6269841269841</v>
      </c>
      <c r="I99">
        <v>2009</v>
      </c>
      <c r="J99">
        <v>2022</v>
      </c>
      <c r="K99" s="24">
        <f>Tabel2[[#This Row],[ijkdatum]]-Tabel2[[#This Row],[Geboren]]</f>
        <v>13</v>
      </c>
      <c r="L99" s="26">
        <f>Tabel2[[#This Row],[TTL 1]]+Tabel2[[#This Row],[TTL 2]]+Tabel2[[#This Row],[TTL 3]]+Tabel2[[#This Row],[TTL 4]]+Tabel2[[#This Row],[TTL 5]]+Tabel2[[#This Row],[TTL 6]]+Tabel2[[#This Row],[TTL 7]]+Tabel2[[#This Row],[TTL 8]]+Tabel2[[#This Row],[TTL 9]]+Tabel2[[#This Row],[TTL 10]]</f>
        <v>93.75</v>
      </c>
      <c r="M99" s="141">
        <v>1904.8769841269841</v>
      </c>
      <c r="N99">
        <v>2</v>
      </c>
      <c r="O99">
        <v>6</v>
      </c>
      <c r="P99">
        <v>1</v>
      </c>
      <c r="Q99">
        <v>17</v>
      </c>
      <c r="S99" s="23">
        <f>SUM(Tabel2[[#This Row],[V 1]]*10+Tabel2[[#This Row],[GT 1]])/Tabel2[[#This Row],[AW 1]]*10+Tabel2[[#This Row],[BONUS 1]]</f>
        <v>45</v>
      </c>
      <c r="U99">
        <v>1</v>
      </c>
      <c r="Y99" s="23">
        <f>SUM(Tabel2[[#This Row],[V 2]]*10+Tabel2[[#This Row],[GT 2]])/Tabel2[[#This Row],[AW 2]]*10+Tabel2[[#This Row],[BONUS 2]]</f>
        <v>0</v>
      </c>
      <c r="Z99">
        <v>1</v>
      </c>
      <c r="AA99">
        <v>8</v>
      </c>
      <c r="AB99">
        <v>2</v>
      </c>
      <c r="AC99">
        <v>19</v>
      </c>
      <c r="AE99" s="23">
        <f>SUM(Tabel2[[#This Row],[V 3]]*10+Tabel2[[#This Row],[GT 3]])/Tabel2[[#This Row],[AW 3]]*10+Tabel2[[#This Row],[BONUS 3]]</f>
        <v>48.75</v>
      </c>
      <c r="AG99">
        <v>1</v>
      </c>
      <c r="AK99" s="23">
        <f>SUM(Tabel2[[#This Row],[V 4]]*10+Tabel2[[#This Row],[GT 4]])/Tabel2[[#This Row],[AW 4]]*10+Tabel2[[#This Row],[BONUS 4]]</f>
        <v>0</v>
      </c>
      <c r="AM99">
        <v>1</v>
      </c>
      <c r="AQ99" s="23">
        <f>SUM(Tabel2[[#This Row],[V 5]]*10+Tabel2[[#This Row],[GT 5]])/Tabel2[[#This Row],[AW 5]]*10+Tabel2[[#This Row],[BONUS 5]]</f>
        <v>0</v>
      </c>
      <c r="AS99">
        <v>1</v>
      </c>
      <c r="AW99" s="23">
        <f>SUM(Tabel2[[#This Row],[V 6]]*10+Tabel2[[#This Row],[GT 6]])/Tabel2[[#This Row],[AW 6]]*10+Tabel2[[#This Row],[BONUS 6]]</f>
        <v>0</v>
      </c>
      <c r="AY99">
        <v>1</v>
      </c>
      <c r="BC99" s="23">
        <f>SUM(Tabel2[[#This Row],[V 7]]*10+Tabel2[[#This Row],[GT 7]])/Tabel2[[#This Row],[AW 7]]*10+Tabel2[[#This Row],[BONUS 7]]</f>
        <v>0</v>
      </c>
      <c r="BE99">
        <v>1</v>
      </c>
      <c r="BI99" s="23">
        <f>SUM(Tabel2[[#This Row],[V 8]]*10+Tabel2[[#This Row],[GT 8]])/Tabel2[[#This Row],[AW 8]]*10+Tabel2[[#This Row],[BONUS 8]]</f>
        <v>0</v>
      </c>
      <c r="BK99">
        <v>1</v>
      </c>
      <c r="BO99" s="23">
        <f>SUM(Tabel2[[#This Row],[V 9]]*10+Tabel2[[#This Row],[GT 9]])/Tabel2[[#This Row],[AW 9]]*10+Tabel2[[#This Row],[BONUS 9]]</f>
        <v>0</v>
      </c>
      <c r="BQ99">
        <v>1</v>
      </c>
      <c r="BU99" s="23">
        <f>SUM(Tabel2[[#This Row],[V 10]]*10+Tabel2[[#This Row],[GT 10]])/Tabel2[[#This Row],[AW 10]]*10+Tabel2[[#This Row],[BONUS 10]]</f>
        <v>0</v>
      </c>
      <c r="BV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9" s="22">
        <v>1500</v>
      </c>
      <c r="BX99" s="30">
        <f>Tabel2[[#This Row],[Diploma]]-Tabel2[[#This Row],[Uitgeschreven]]</f>
        <v>0</v>
      </c>
      <c r="BY99" s="2" t="str">
        <f t="shared" si="8"/>
        <v>geen actie</v>
      </c>
      <c r="CA99" s="150">
        <f>Tabel2[[#This Row],[pnt t/m 2021/22]]</f>
        <v>1904.8769841269841</v>
      </c>
      <c r="CB99" s="150">
        <f>Tabel2[[#This Row],[pnt 2022/2023]]</f>
        <v>93.75</v>
      </c>
      <c r="CC99" s="150">
        <f t="shared" si="14"/>
        <v>1998.6269841269841</v>
      </c>
      <c r="CD99" s="150">
        <f>IF(Tabel2[[#This Row],[LPR 1]]&gt;0,1,0)</f>
        <v>1</v>
      </c>
      <c r="CE99" s="150">
        <f>IF(Tabel2[[#This Row],[LPR 2]]&gt;0,1,0)</f>
        <v>0</v>
      </c>
      <c r="CF99" s="150">
        <f>IF(Tabel2[[#This Row],[LPR 3]]&gt;0,1,0)</f>
        <v>1</v>
      </c>
      <c r="CG99" s="150">
        <f>IF(Tabel2[[#This Row],[LPR 4]]&gt;0,1,0)</f>
        <v>0</v>
      </c>
      <c r="CH99" s="150">
        <f>IF(Tabel2[[#This Row],[LPR 5]]&gt;0,1,0)</f>
        <v>0</v>
      </c>
      <c r="CI99" s="150">
        <f>IF(Tabel2[[#This Row],[LPR 6]]&gt;0,1,0)</f>
        <v>0</v>
      </c>
      <c r="CJ99" s="150">
        <f>IF(Tabel2[[#This Row],[LPR 7]]&gt;0,1,0)</f>
        <v>0</v>
      </c>
      <c r="CK99" s="150">
        <f>IF(Tabel2[[#This Row],[LPR 8]]&gt;0,1,0)</f>
        <v>0</v>
      </c>
      <c r="CL99" s="150">
        <f>IF(Tabel2[[#This Row],[LPR 9]]&gt;0,1,0)</f>
        <v>0</v>
      </c>
      <c r="CM99" s="150">
        <f>IF(Tabel2[[#This Row],[LPR 10]]&gt;0,1,0)</f>
        <v>0</v>
      </c>
      <c r="CN99" s="150">
        <f>SUM(Tabel7[[#This Row],[sep]:[jun]])</f>
        <v>2</v>
      </c>
      <c r="CO99" s="22" t="str">
        <f t="shared" si="9"/>
        <v/>
      </c>
      <c r="CP99" s="22" t="str">
        <f t="shared" si="10"/>
        <v/>
      </c>
      <c r="CQ99" s="22" t="str">
        <f t="shared" si="11"/>
        <v/>
      </c>
      <c r="CR99" s="22" t="str">
        <f t="shared" si="12"/>
        <v/>
      </c>
      <c r="CS99" s="22" t="str">
        <f t="shared" si="13"/>
        <v/>
      </c>
    </row>
    <row r="100" spans="1:97" x14ac:dyDescent="0.3">
      <c r="A100" s="22" t="s">
        <v>148</v>
      </c>
      <c r="B100" s="22" t="s">
        <v>149</v>
      </c>
      <c r="D100" s="22" t="s">
        <v>150</v>
      </c>
      <c r="E100" t="s">
        <v>282</v>
      </c>
      <c r="F100" s="22">
        <v>117368</v>
      </c>
      <c r="G100" s="25" t="s">
        <v>201</v>
      </c>
      <c r="H100" s="142">
        <f>Tabel2[[#This Row],[pnt t/m 2021/22]]+Tabel2[[#This Row],[pnt 2022/2023]]</f>
        <v>1258.6075036075038</v>
      </c>
      <c r="I100">
        <v>2011</v>
      </c>
      <c r="J100">
        <v>2022</v>
      </c>
      <c r="K100" s="24">
        <f>Tabel2[[#This Row],[ijkdatum]]-Tabel2[[#This Row],[Geboren]]</f>
        <v>11</v>
      </c>
      <c r="L100" s="26">
        <f>Tabel2[[#This Row],[TTL 1]]+Tabel2[[#This Row],[TTL 2]]+Tabel2[[#This Row],[TTL 3]]+Tabel2[[#This Row],[TTL 4]]+Tabel2[[#This Row],[TTL 5]]+Tabel2[[#This Row],[TTL 6]]+Tabel2[[#This Row],[TTL 7]]+Tabel2[[#This Row],[TTL 8]]+Tabel2[[#This Row],[TTL 9]]+Tabel2[[#This Row],[TTL 10]]</f>
        <v>74.142857142857139</v>
      </c>
      <c r="M100" s="141">
        <v>1184.4646464646466</v>
      </c>
      <c r="N100">
        <v>3</v>
      </c>
      <c r="O100">
        <v>10</v>
      </c>
      <c r="P100">
        <v>1</v>
      </c>
      <c r="Q100">
        <v>27</v>
      </c>
      <c r="S100" s="23">
        <f>SUM(Tabel2[[#This Row],[V 1]]*10+Tabel2[[#This Row],[GT 1]])/Tabel2[[#This Row],[AW 1]]*10+Tabel2[[#This Row],[BONUS 1]]</f>
        <v>37</v>
      </c>
      <c r="U100">
        <v>1</v>
      </c>
      <c r="Y100" s="23">
        <f>SUM(Tabel2[[#This Row],[V 2]]*10+Tabel2[[#This Row],[GT 2]])/Tabel2[[#This Row],[AW 2]]*10+Tabel2[[#This Row],[BONUS 2]]</f>
        <v>0</v>
      </c>
      <c r="Z100">
        <v>2</v>
      </c>
      <c r="AA100">
        <v>7</v>
      </c>
      <c r="AB100">
        <v>1</v>
      </c>
      <c r="AC100">
        <v>16</v>
      </c>
      <c r="AE100" s="23">
        <f>SUM(Tabel2[[#This Row],[V 3]]*10+Tabel2[[#This Row],[GT 3]])/Tabel2[[#This Row],[AW 3]]*10+Tabel2[[#This Row],[BONUS 3]]</f>
        <v>37.142857142857146</v>
      </c>
      <c r="AG100">
        <v>1</v>
      </c>
      <c r="AK100" s="23">
        <f>SUM(Tabel2[[#This Row],[V 4]]*10+Tabel2[[#This Row],[GT 4]])/Tabel2[[#This Row],[AW 4]]*10+Tabel2[[#This Row],[BONUS 4]]</f>
        <v>0</v>
      </c>
      <c r="AM100">
        <v>1</v>
      </c>
      <c r="AQ100" s="23">
        <f>SUM(Tabel2[[#This Row],[V 5]]*10+Tabel2[[#This Row],[GT 5]])/Tabel2[[#This Row],[AW 5]]*10+Tabel2[[#This Row],[BONUS 5]]</f>
        <v>0</v>
      </c>
      <c r="AS100">
        <v>1</v>
      </c>
      <c r="AW100" s="23">
        <f>SUM(Tabel2[[#This Row],[V 6]]*10+Tabel2[[#This Row],[GT 6]])/Tabel2[[#This Row],[AW 6]]*10+Tabel2[[#This Row],[BONUS 6]]</f>
        <v>0</v>
      </c>
      <c r="AY100">
        <v>1</v>
      </c>
      <c r="BC100" s="23">
        <f>SUM(Tabel2[[#This Row],[V 7]]*10+Tabel2[[#This Row],[GT 7]])/Tabel2[[#This Row],[AW 7]]*10+Tabel2[[#This Row],[BONUS 7]]</f>
        <v>0</v>
      </c>
      <c r="BE100">
        <v>1</v>
      </c>
      <c r="BI100" s="23">
        <f>SUM(Tabel2[[#This Row],[V 8]]*10+Tabel2[[#This Row],[GT 8]])/Tabel2[[#This Row],[AW 8]]*10+Tabel2[[#This Row],[BONUS 8]]</f>
        <v>0</v>
      </c>
      <c r="BK100">
        <v>1</v>
      </c>
      <c r="BO100" s="23">
        <f>SUM(Tabel2[[#This Row],[V 9]]*10+Tabel2[[#This Row],[GT 9]])/Tabel2[[#This Row],[AW 9]]*10+Tabel2[[#This Row],[BONUS 9]]</f>
        <v>0</v>
      </c>
      <c r="BQ100">
        <v>1</v>
      </c>
      <c r="BU100" s="23">
        <f>SUM(Tabel2[[#This Row],[V 10]]*10+Tabel2[[#This Row],[GT 10]])/Tabel2[[#This Row],[AW 10]]*10+Tabel2[[#This Row],[BONUS 10]]</f>
        <v>0</v>
      </c>
      <c r="BV1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00" s="22">
        <v>1000</v>
      </c>
      <c r="BX100" s="30">
        <f>Tabel2[[#This Row],[Diploma]]-Tabel2[[#This Row],[Uitgeschreven]]</f>
        <v>0</v>
      </c>
      <c r="BY100" s="2" t="str">
        <f t="shared" si="8"/>
        <v>geen actie</v>
      </c>
      <c r="CA100" s="150">
        <f>Tabel2[[#This Row],[pnt t/m 2021/22]]</f>
        <v>1184.4646464646466</v>
      </c>
      <c r="CB100" s="150">
        <f>Tabel2[[#This Row],[pnt 2022/2023]]</f>
        <v>74.142857142857139</v>
      </c>
      <c r="CC100" s="150">
        <f t="shared" si="14"/>
        <v>1258.6075036075038</v>
      </c>
      <c r="CD100" s="150">
        <f>IF(Tabel2[[#This Row],[LPR 1]]&gt;0,1,0)</f>
        <v>1</v>
      </c>
      <c r="CE100" s="150">
        <f>IF(Tabel2[[#This Row],[LPR 2]]&gt;0,1,0)</f>
        <v>0</v>
      </c>
      <c r="CF100" s="150">
        <f>IF(Tabel2[[#This Row],[LPR 3]]&gt;0,1,0)</f>
        <v>1</v>
      </c>
      <c r="CG100" s="150">
        <f>IF(Tabel2[[#This Row],[LPR 4]]&gt;0,1,0)</f>
        <v>0</v>
      </c>
      <c r="CH100" s="150">
        <f>IF(Tabel2[[#This Row],[LPR 5]]&gt;0,1,0)</f>
        <v>0</v>
      </c>
      <c r="CI100" s="150">
        <f>IF(Tabel2[[#This Row],[LPR 6]]&gt;0,1,0)</f>
        <v>0</v>
      </c>
      <c r="CJ100" s="150">
        <f>IF(Tabel2[[#This Row],[LPR 7]]&gt;0,1,0)</f>
        <v>0</v>
      </c>
      <c r="CK100" s="150">
        <f>IF(Tabel2[[#This Row],[LPR 8]]&gt;0,1,0)</f>
        <v>0</v>
      </c>
      <c r="CL100" s="150">
        <f>IF(Tabel2[[#This Row],[LPR 9]]&gt;0,1,0)</f>
        <v>0</v>
      </c>
      <c r="CM100" s="150">
        <f>IF(Tabel2[[#This Row],[LPR 10]]&gt;0,1,0)</f>
        <v>0</v>
      </c>
      <c r="CN100" s="150">
        <f>SUM(Tabel7[[#This Row],[sep]:[jun]])</f>
        <v>2</v>
      </c>
      <c r="CO100" s="22" t="str">
        <f t="shared" si="9"/>
        <v/>
      </c>
      <c r="CP100" s="22" t="str">
        <f t="shared" si="10"/>
        <v/>
      </c>
      <c r="CQ100" s="22" t="str">
        <f t="shared" si="11"/>
        <v/>
      </c>
      <c r="CR100" s="22" t="str">
        <f t="shared" si="12"/>
        <v/>
      </c>
      <c r="CS100" s="22" t="str">
        <f t="shared" si="13"/>
        <v/>
      </c>
    </row>
    <row r="101" spans="1:97" x14ac:dyDescent="0.3">
      <c r="A101" s="22" t="s">
        <v>148</v>
      </c>
      <c r="B101" s="22" t="s">
        <v>149</v>
      </c>
      <c r="D101" s="22" t="s">
        <v>150</v>
      </c>
      <c r="E101" t="s">
        <v>283</v>
      </c>
      <c r="F101" s="22">
        <v>120015</v>
      </c>
      <c r="G101" s="25" t="s">
        <v>195</v>
      </c>
      <c r="H101" s="142">
        <f>Tabel2[[#This Row],[pnt t/m 2021/22]]+Tabel2[[#This Row],[pnt 2022/2023]]</f>
        <v>588.24855699855709</v>
      </c>
      <c r="I101">
        <v>2008</v>
      </c>
      <c r="J101">
        <v>2022</v>
      </c>
      <c r="K101" s="24">
        <f>Tabel2[[#This Row],[ijkdatum]]-Tabel2[[#This Row],[Geboren]]</f>
        <v>14</v>
      </c>
      <c r="L101" s="26">
        <f>Tabel2[[#This Row],[TTL 1]]+Tabel2[[#This Row],[TTL 2]]+Tabel2[[#This Row],[TTL 3]]+Tabel2[[#This Row],[TTL 4]]+Tabel2[[#This Row],[TTL 5]]+Tabel2[[#This Row],[TTL 6]]+Tabel2[[#This Row],[TTL 7]]+Tabel2[[#This Row],[TTL 8]]+Tabel2[[#This Row],[TTL 9]]+Tabel2[[#This Row],[TTL 10]]</f>
        <v>73.75</v>
      </c>
      <c r="M101" s="141">
        <v>514.49855699855709</v>
      </c>
      <c r="O101">
        <v>1</v>
      </c>
      <c r="S101" s="23">
        <f>SUM(Tabel2[[#This Row],[V 1]]*10+Tabel2[[#This Row],[GT 1]])/Tabel2[[#This Row],[AW 1]]*10+Tabel2[[#This Row],[BONUS 1]]</f>
        <v>0</v>
      </c>
      <c r="U101">
        <v>1</v>
      </c>
      <c r="Y101" s="23">
        <f>SUM(Tabel2[[#This Row],[V 2]]*10+Tabel2[[#This Row],[GT 2]])/Tabel2[[#This Row],[AW 2]]*10+Tabel2[[#This Row],[BONUS 2]]</f>
        <v>0</v>
      </c>
      <c r="Z101">
        <v>1</v>
      </c>
      <c r="AA101">
        <v>8</v>
      </c>
      <c r="AB101">
        <v>3</v>
      </c>
      <c r="AC101">
        <v>29</v>
      </c>
      <c r="AE101" s="23">
        <f>SUM(Tabel2[[#This Row],[V 3]]*10+Tabel2[[#This Row],[GT 3]])/Tabel2[[#This Row],[AW 3]]*10+Tabel2[[#This Row],[BONUS 3]]</f>
        <v>73.75</v>
      </c>
      <c r="AG101">
        <v>1</v>
      </c>
      <c r="AK101" s="23">
        <f>SUM(Tabel2[[#This Row],[V 4]]*10+Tabel2[[#This Row],[GT 4]])/Tabel2[[#This Row],[AW 4]]*10+Tabel2[[#This Row],[BONUS 4]]</f>
        <v>0</v>
      </c>
      <c r="AM101">
        <v>1</v>
      </c>
      <c r="AQ101" s="23">
        <f>SUM(Tabel2[[#This Row],[V 5]]*10+Tabel2[[#This Row],[GT 5]])/Tabel2[[#This Row],[AW 5]]*10+Tabel2[[#This Row],[BONUS 5]]</f>
        <v>0</v>
      </c>
      <c r="AS101">
        <v>1</v>
      </c>
      <c r="AW101" s="23">
        <f>SUM(Tabel2[[#This Row],[V 6]]*10+Tabel2[[#This Row],[GT 6]])/Tabel2[[#This Row],[AW 6]]*10+Tabel2[[#This Row],[BONUS 6]]</f>
        <v>0</v>
      </c>
      <c r="AY101">
        <v>1</v>
      </c>
      <c r="BC101" s="23">
        <f>SUM(Tabel2[[#This Row],[V 7]]*10+Tabel2[[#This Row],[GT 7]])/Tabel2[[#This Row],[AW 7]]*10+Tabel2[[#This Row],[BONUS 7]]</f>
        <v>0</v>
      </c>
      <c r="BE101">
        <v>1</v>
      </c>
      <c r="BI101" s="23">
        <f>SUM(Tabel2[[#This Row],[V 8]]*10+Tabel2[[#This Row],[GT 8]])/Tabel2[[#This Row],[AW 8]]*10+Tabel2[[#This Row],[BONUS 8]]</f>
        <v>0</v>
      </c>
      <c r="BK101">
        <v>1</v>
      </c>
      <c r="BO101" s="23">
        <f>SUM(Tabel2[[#This Row],[V 9]]*10+Tabel2[[#This Row],[GT 9]])/Tabel2[[#This Row],[AW 9]]*10+Tabel2[[#This Row],[BONUS 9]]</f>
        <v>0</v>
      </c>
      <c r="BQ101">
        <v>1</v>
      </c>
      <c r="BU101" s="23">
        <f>SUM(Tabel2[[#This Row],[V 10]]*10+Tabel2[[#This Row],[GT 10]])/Tabel2[[#This Row],[AW 10]]*10+Tabel2[[#This Row],[BONUS 10]]</f>
        <v>0</v>
      </c>
      <c r="BV10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1" s="22">
        <v>500</v>
      </c>
      <c r="BX101" s="30">
        <f>Tabel2[[#This Row],[Diploma]]-Tabel2[[#This Row],[Uitgeschreven]]</f>
        <v>0</v>
      </c>
      <c r="BY101" s="2" t="str">
        <f t="shared" ref="BY101:BY132" si="15">IF(BX101=0,"geen actie",CONCATENATE("diploma uitschrijven: ",BV101," punten"))</f>
        <v>geen actie</v>
      </c>
      <c r="CA101" s="150">
        <f>Tabel2[[#This Row],[pnt t/m 2021/22]]</f>
        <v>514.49855699855709</v>
      </c>
      <c r="CB101" s="150">
        <f>Tabel2[[#This Row],[pnt 2022/2023]]</f>
        <v>73.75</v>
      </c>
      <c r="CC101" s="150">
        <f t="shared" si="14"/>
        <v>588.24855699855709</v>
      </c>
      <c r="CD101" s="150">
        <f>IF(Tabel2[[#This Row],[LPR 1]]&gt;0,1,0)</f>
        <v>0</v>
      </c>
      <c r="CE101" s="150">
        <f>IF(Tabel2[[#This Row],[LPR 2]]&gt;0,1,0)</f>
        <v>0</v>
      </c>
      <c r="CF101" s="150">
        <f>IF(Tabel2[[#This Row],[LPR 3]]&gt;0,1,0)</f>
        <v>1</v>
      </c>
      <c r="CG101" s="150">
        <f>IF(Tabel2[[#This Row],[LPR 4]]&gt;0,1,0)</f>
        <v>0</v>
      </c>
      <c r="CH101" s="150">
        <f>IF(Tabel2[[#This Row],[LPR 5]]&gt;0,1,0)</f>
        <v>0</v>
      </c>
      <c r="CI101" s="150">
        <f>IF(Tabel2[[#This Row],[LPR 6]]&gt;0,1,0)</f>
        <v>0</v>
      </c>
      <c r="CJ101" s="150">
        <f>IF(Tabel2[[#This Row],[LPR 7]]&gt;0,1,0)</f>
        <v>0</v>
      </c>
      <c r="CK101" s="150">
        <f>IF(Tabel2[[#This Row],[LPR 8]]&gt;0,1,0)</f>
        <v>0</v>
      </c>
      <c r="CL101" s="150">
        <f>IF(Tabel2[[#This Row],[LPR 9]]&gt;0,1,0)</f>
        <v>0</v>
      </c>
      <c r="CM101" s="150">
        <f>IF(Tabel2[[#This Row],[LPR 10]]&gt;0,1,0)</f>
        <v>0</v>
      </c>
      <c r="CN101" s="150">
        <f>SUM(Tabel7[[#This Row],[sep]:[jun]])</f>
        <v>1</v>
      </c>
      <c r="CO101" s="22" t="str">
        <f t="shared" si="9"/>
        <v/>
      </c>
      <c r="CP101" s="22" t="str">
        <f t="shared" si="10"/>
        <v/>
      </c>
      <c r="CQ101" s="22" t="str">
        <f t="shared" si="11"/>
        <v/>
      </c>
      <c r="CR101" s="22" t="str">
        <f t="shared" si="12"/>
        <v/>
      </c>
      <c r="CS101" s="22" t="str">
        <f t="shared" si="13"/>
        <v/>
      </c>
    </row>
    <row r="102" spans="1:97" x14ac:dyDescent="0.3">
      <c r="A102" s="22" t="s">
        <v>156</v>
      </c>
      <c r="B102" s="22" t="s">
        <v>149</v>
      </c>
      <c r="D102" s="22" t="s">
        <v>163</v>
      </c>
      <c r="E102" t="s">
        <v>284</v>
      </c>
      <c r="F102" s="22">
        <v>119271</v>
      </c>
      <c r="G102" s="25" t="s">
        <v>181</v>
      </c>
      <c r="H102" s="142">
        <f>Tabel2[[#This Row],[pnt t/m 2021/22]]+Tabel2[[#This Row],[pnt 2022/2023]]</f>
        <v>910.2533577533577</v>
      </c>
      <c r="I102">
        <v>2010</v>
      </c>
      <c r="J102">
        <v>2022</v>
      </c>
      <c r="K102" s="24">
        <f>Tabel2[[#This Row],[ijkdatum]]-Tabel2[[#This Row],[Geboren]]</f>
        <v>12</v>
      </c>
      <c r="L102" s="26">
        <f>Tabel2[[#This Row],[TTL 1]]+Tabel2[[#This Row],[TTL 2]]+Tabel2[[#This Row],[TTL 3]]+Tabel2[[#This Row],[TTL 4]]+Tabel2[[#This Row],[TTL 5]]+Tabel2[[#This Row],[TTL 6]]+Tabel2[[#This Row],[TTL 7]]+Tabel2[[#This Row],[TTL 8]]+Tabel2[[#This Row],[TTL 9]]+Tabel2[[#This Row],[TTL 10]]</f>
        <v>0</v>
      </c>
      <c r="M102" s="153">
        <v>910.2533577533577</v>
      </c>
      <c r="O102">
        <v>1</v>
      </c>
      <c r="S102" s="23">
        <f>SUM(Tabel2[[#This Row],[V 1]]*10+Tabel2[[#This Row],[GT 1]])/Tabel2[[#This Row],[AW 1]]*10+Tabel2[[#This Row],[BONUS 1]]</f>
        <v>0</v>
      </c>
      <c r="U102">
        <v>1</v>
      </c>
      <c r="Y102" s="23">
        <f>SUM(Tabel2[[#This Row],[V 2]]*10+Tabel2[[#This Row],[GT 2]])/Tabel2[[#This Row],[AW 2]]*10+Tabel2[[#This Row],[BONUS 2]]</f>
        <v>0</v>
      </c>
      <c r="AA102">
        <v>1</v>
      </c>
      <c r="AE102" s="23">
        <f>SUM(Tabel2[[#This Row],[V 3]]*10+Tabel2[[#This Row],[GT 3]])/Tabel2[[#This Row],[AW 3]]*10+Tabel2[[#This Row],[BONUS 3]]</f>
        <v>0</v>
      </c>
      <c r="AG102">
        <v>1</v>
      </c>
      <c r="AK102" s="23">
        <f>SUM(Tabel2[[#This Row],[V 4]]*10+Tabel2[[#This Row],[GT 4]])/Tabel2[[#This Row],[AW 4]]*10+Tabel2[[#This Row],[BONUS 4]]</f>
        <v>0</v>
      </c>
      <c r="AM102">
        <v>1</v>
      </c>
      <c r="AQ102" s="23">
        <f>SUM(Tabel2[[#This Row],[V 5]]*10+Tabel2[[#This Row],[GT 5]])/Tabel2[[#This Row],[AW 5]]*10+Tabel2[[#This Row],[BONUS 5]]</f>
        <v>0</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2" s="22">
        <v>750</v>
      </c>
      <c r="BX102" s="30">
        <f>Tabel2[[#This Row],[Diploma]]-Tabel2[[#This Row],[Uitgeschreven]]</f>
        <v>0</v>
      </c>
      <c r="BY102" s="2" t="str">
        <f t="shared" si="15"/>
        <v>geen actie</v>
      </c>
      <c r="CA102" s="150">
        <f>Tabel2[[#This Row],[pnt t/m 2021/22]]</f>
        <v>910.2533577533577</v>
      </c>
      <c r="CB102" s="150">
        <f>Tabel2[[#This Row],[pnt 2022/2023]]</f>
        <v>0</v>
      </c>
      <c r="CC102" s="150">
        <f t="shared" si="14"/>
        <v>910.2533577533577</v>
      </c>
      <c r="CD102" s="150">
        <f>IF(Tabel2[[#This Row],[LPR 1]]&gt;0,1,0)</f>
        <v>0</v>
      </c>
      <c r="CE102" s="150">
        <f>IF(Tabel2[[#This Row],[LPR 2]]&gt;0,1,0)</f>
        <v>0</v>
      </c>
      <c r="CF102" s="150">
        <f>IF(Tabel2[[#This Row],[LPR 3]]&gt;0,1,0)</f>
        <v>0</v>
      </c>
      <c r="CG102" s="150">
        <f>IF(Tabel2[[#This Row],[LPR 4]]&gt;0,1,0)</f>
        <v>0</v>
      </c>
      <c r="CH102" s="150">
        <f>IF(Tabel2[[#This Row],[LPR 5]]&gt;0,1,0)</f>
        <v>0</v>
      </c>
      <c r="CI102" s="150">
        <f>IF(Tabel2[[#This Row],[LPR 6]]&gt;0,1,0)</f>
        <v>0</v>
      </c>
      <c r="CJ102" s="150">
        <f>IF(Tabel2[[#This Row],[LPR 7]]&gt;0,1,0)</f>
        <v>0</v>
      </c>
      <c r="CK102" s="150">
        <f>IF(Tabel2[[#This Row],[LPR 8]]&gt;0,1,0)</f>
        <v>0</v>
      </c>
      <c r="CL102" s="150">
        <f>IF(Tabel2[[#This Row],[LPR 9]]&gt;0,1,0)</f>
        <v>0</v>
      </c>
      <c r="CM102" s="150">
        <f>IF(Tabel2[[#This Row],[LPR 10]]&gt;0,1,0)</f>
        <v>0</v>
      </c>
      <c r="CN102" s="150">
        <f>SUM(Tabel7[[#This Row],[sep]:[jun]])</f>
        <v>0</v>
      </c>
      <c r="CO102" s="22" t="str">
        <f t="shared" si="9"/>
        <v/>
      </c>
      <c r="CP102" s="22" t="str">
        <f t="shared" si="10"/>
        <v/>
      </c>
      <c r="CQ102" s="22" t="str">
        <f t="shared" si="11"/>
        <v/>
      </c>
      <c r="CR102" s="22" t="str">
        <f t="shared" si="12"/>
        <v/>
      </c>
      <c r="CS102" s="22" t="str">
        <f t="shared" si="13"/>
        <v/>
      </c>
    </row>
    <row r="103" spans="1:97" x14ac:dyDescent="0.3">
      <c r="A103" s="22" t="s">
        <v>173</v>
      </c>
      <c r="B103" s="22" t="s">
        <v>149</v>
      </c>
      <c r="D103" s="22" t="s">
        <v>163</v>
      </c>
      <c r="E103" t="s">
        <v>285</v>
      </c>
      <c r="F103">
        <v>120639</v>
      </c>
      <c r="G103" s="25" t="s">
        <v>203</v>
      </c>
      <c r="H103" s="23">
        <f>Tabel2[[#This Row],[pnt t/m 2021/22]]+Tabel2[[#This Row],[pnt 2022/2023]]</f>
        <v>71.111111111111114</v>
      </c>
      <c r="I103">
        <v>2011</v>
      </c>
      <c r="J103">
        <v>2022</v>
      </c>
      <c r="K103" s="24">
        <f>Tabel2[[#This Row],[ijkdatum]]-Tabel2[[#This Row],[Geboren]]</f>
        <v>11</v>
      </c>
      <c r="L103" s="26">
        <f>Tabel2[[#This Row],[TTL 1]]+Tabel2[[#This Row],[TTL 2]]+Tabel2[[#This Row],[TTL 3]]+Tabel2[[#This Row],[TTL 4]]+Tabel2[[#This Row],[TTL 5]]+Tabel2[[#This Row],[TTL 6]]+Tabel2[[#This Row],[TTL 7]]+Tabel2[[#This Row],[TTL 8]]+Tabel2[[#This Row],[TTL 9]]+Tabel2[[#This Row],[TTL 10]]</f>
        <v>0</v>
      </c>
      <c r="M103" s="153">
        <v>71.111111111111114</v>
      </c>
      <c r="O103">
        <v>1</v>
      </c>
      <c r="S103" s="153">
        <f>SUM(Tabel2[[#This Row],[V 1]]*10+Tabel2[[#This Row],[GT 1]])/Tabel2[[#This Row],[AW 1]]*10+Tabel2[[#This Row],[BONUS 1]]</f>
        <v>0</v>
      </c>
      <c r="U103">
        <v>1</v>
      </c>
      <c r="Y103" s="153">
        <f>SUM(Tabel2[[#This Row],[V 2]]*10+Tabel2[[#This Row],[GT 2]])/Tabel2[[#This Row],[AW 2]]*10+Tabel2[[#This Row],[BONUS 2]]</f>
        <v>0</v>
      </c>
      <c r="AA103">
        <v>1</v>
      </c>
      <c r="AE103" s="153">
        <f>SUM(Tabel2[[#This Row],[V 3]]*10+Tabel2[[#This Row],[GT 3]])/Tabel2[[#This Row],[AW 3]]*10+Tabel2[[#This Row],[BONUS 3]]</f>
        <v>0</v>
      </c>
      <c r="AG103">
        <v>1</v>
      </c>
      <c r="AK103" s="153">
        <f>SUM(Tabel2[[#This Row],[V 4]]*10+Tabel2[[#This Row],[GT 4]])/Tabel2[[#This Row],[AW 4]]*10+Tabel2[[#This Row],[BONUS 4]]</f>
        <v>0</v>
      </c>
      <c r="AM103">
        <v>1</v>
      </c>
      <c r="AQ103" s="153">
        <f>SUM(Tabel2[[#This Row],[V 5]]*10+Tabel2[[#This Row],[GT 5]])/Tabel2[[#This Row],[AW 5]]*10+Tabel2[[#This Row],[BONUS 5]]</f>
        <v>0</v>
      </c>
      <c r="AS103">
        <v>1</v>
      </c>
      <c r="AW103" s="153">
        <f>SUM(Tabel2[[#This Row],[V 6]]*10+Tabel2[[#This Row],[GT 6]])/Tabel2[[#This Row],[AW 6]]*10+Tabel2[[#This Row],[BONUS 6]]</f>
        <v>0</v>
      </c>
      <c r="AY103">
        <v>1</v>
      </c>
      <c r="BC103" s="153">
        <f>SUM(Tabel2[[#This Row],[V 7]]*10+Tabel2[[#This Row],[GT 7]])/Tabel2[[#This Row],[AW 7]]*10+Tabel2[[#This Row],[BONUS 7]]</f>
        <v>0</v>
      </c>
      <c r="BE103">
        <v>1</v>
      </c>
      <c r="BI103" s="153">
        <f>SUM(Tabel2[[#This Row],[V 8]]*10+Tabel2[[#This Row],[GT 8]])/Tabel2[[#This Row],[AW 8]]*10+Tabel2[[#This Row],[BONUS 8]]</f>
        <v>0</v>
      </c>
      <c r="BK103">
        <v>1</v>
      </c>
      <c r="BO103" s="153">
        <f>SUM(Tabel2[[#This Row],[V 9]]*10+Tabel2[[#This Row],[GT 9]])/Tabel2[[#This Row],[AW 9]]*10+Tabel2[[#This Row],[BONUS 9]]</f>
        <v>0</v>
      </c>
      <c r="BQ103">
        <v>1</v>
      </c>
      <c r="BU103" s="23">
        <f>SUM(Tabel2[[#This Row],[V 10]]*10+Tabel2[[#This Row],[GT 10]])/Tabel2[[#This Row],[AW 10]]*10+Tabel2[[#This Row],[BONUS 10]]</f>
        <v>0</v>
      </c>
      <c r="BV10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3" s="22">
        <v>0</v>
      </c>
      <c r="BX103" s="22">
        <f>Tabel2[[#This Row],[Diploma]]-Tabel2[[#This Row],[Uitgeschreven]]</f>
        <v>0</v>
      </c>
      <c r="BY103" s="155" t="str">
        <f t="shared" si="15"/>
        <v>geen actie</v>
      </c>
      <c r="CA103" s="150">
        <f>Tabel2[[#This Row],[pnt t/m 2021/22]]</f>
        <v>71.111111111111114</v>
      </c>
      <c r="CB103" s="150">
        <f>Tabel2[[#This Row],[pnt 2022/2023]]</f>
        <v>0</v>
      </c>
      <c r="CC103" s="150">
        <f t="shared" si="14"/>
        <v>71.111111111111114</v>
      </c>
      <c r="CD103" s="150">
        <f>IF(Tabel2[[#This Row],[LPR 1]]&gt;0,1,0)</f>
        <v>0</v>
      </c>
      <c r="CE103" s="150">
        <f>IF(Tabel2[[#This Row],[LPR 2]]&gt;0,1,0)</f>
        <v>0</v>
      </c>
      <c r="CF103" s="150">
        <f>IF(Tabel2[[#This Row],[LPR 3]]&gt;0,1,0)</f>
        <v>0</v>
      </c>
      <c r="CG103" s="150">
        <f>IF(Tabel2[[#This Row],[LPR 4]]&gt;0,1,0)</f>
        <v>0</v>
      </c>
      <c r="CH103" s="150">
        <f>IF(Tabel2[[#This Row],[LPR 5]]&gt;0,1,0)</f>
        <v>0</v>
      </c>
      <c r="CI103" s="150">
        <f>IF(Tabel2[[#This Row],[LPR 6]]&gt;0,1,0)</f>
        <v>0</v>
      </c>
      <c r="CJ103" s="150">
        <f>IF(Tabel2[[#This Row],[LPR 7]]&gt;0,1,0)</f>
        <v>0</v>
      </c>
      <c r="CK103" s="150">
        <f>IF(Tabel2[[#This Row],[LPR 8]]&gt;0,1,0)</f>
        <v>0</v>
      </c>
      <c r="CL103" s="150">
        <f>IF(Tabel2[[#This Row],[LPR 9]]&gt;0,1,0)</f>
        <v>0</v>
      </c>
      <c r="CM103" s="150">
        <f>IF(Tabel2[[#This Row],[LPR 10]]&gt;0,1,0)</f>
        <v>0</v>
      </c>
      <c r="CN103" s="150">
        <f>SUM(Tabel7[[#This Row],[sep]:[jun]])</f>
        <v>0</v>
      </c>
      <c r="CO103" s="22" t="str">
        <f t="shared" si="9"/>
        <v/>
      </c>
      <c r="CP103" s="22" t="str">
        <f t="shared" si="10"/>
        <v/>
      </c>
      <c r="CQ103" s="22" t="str">
        <f t="shared" si="11"/>
        <v/>
      </c>
      <c r="CR103" s="22" t="str">
        <f t="shared" si="12"/>
        <v/>
      </c>
      <c r="CS103" s="22" t="str">
        <f t="shared" si="13"/>
        <v/>
      </c>
    </row>
    <row r="104" spans="1:97" x14ac:dyDescent="0.3">
      <c r="A104" s="22" t="s">
        <v>148</v>
      </c>
      <c r="B104" s="22" t="s">
        <v>149</v>
      </c>
      <c r="D104" s="22" t="s">
        <v>163</v>
      </c>
      <c r="E104" t="s">
        <v>286</v>
      </c>
      <c r="F104"/>
      <c r="G104" s="25" t="s">
        <v>213</v>
      </c>
      <c r="H104" s="23">
        <f>Tabel2[[#This Row],[pnt t/m 2021/22]]+Tabel2[[#This Row],[pnt 2022/2023]]</f>
        <v>50</v>
      </c>
      <c r="I104">
        <v>2009</v>
      </c>
      <c r="J104">
        <v>2022</v>
      </c>
      <c r="K104" s="24">
        <f>Tabel2[[#This Row],[ijkdatum]]-Tabel2[[#This Row],[Geboren]]</f>
        <v>13</v>
      </c>
      <c r="L104" s="26">
        <f>Tabel2[[#This Row],[TTL 1]]+Tabel2[[#This Row],[TTL 2]]+Tabel2[[#This Row],[TTL 3]]+Tabel2[[#This Row],[TTL 4]]+Tabel2[[#This Row],[TTL 5]]+Tabel2[[#This Row],[TTL 6]]+Tabel2[[#This Row],[TTL 7]]+Tabel2[[#This Row],[TTL 8]]+Tabel2[[#This Row],[TTL 9]]+Tabel2[[#This Row],[TTL 10]]</f>
        <v>0</v>
      </c>
      <c r="M104" s="153">
        <v>50</v>
      </c>
      <c r="O104">
        <v>1</v>
      </c>
      <c r="S104" s="153">
        <f>SUM(Tabel2[[#This Row],[V 1]]*10+Tabel2[[#This Row],[GT 1]])/Tabel2[[#This Row],[AW 1]]*10+Tabel2[[#This Row],[BONUS 1]]</f>
        <v>0</v>
      </c>
      <c r="U104">
        <v>1</v>
      </c>
      <c r="Y104" s="153">
        <f>SUM(Tabel2[[#This Row],[V 2]]*10+Tabel2[[#This Row],[GT 2]])/Tabel2[[#This Row],[AW 2]]*10+Tabel2[[#This Row],[BONUS 2]]</f>
        <v>0</v>
      </c>
      <c r="AA104">
        <v>1</v>
      </c>
      <c r="AE104" s="153">
        <f>SUM(Tabel2[[#This Row],[V 3]]*10+Tabel2[[#This Row],[GT 3]])/Tabel2[[#This Row],[AW 3]]*10+Tabel2[[#This Row],[BONUS 3]]</f>
        <v>0</v>
      </c>
      <c r="AG104">
        <v>1</v>
      </c>
      <c r="AK104" s="153">
        <f>SUM(Tabel2[[#This Row],[V 4]]*10+Tabel2[[#This Row],[GT 4]])/Tabel2[[#This Row],[AW 4]]*10+Tabel2[[#This Row],[BONUS 4]]</f>
        <v>0</v>
      </c>
      <c r="AM104">
        <v>1</v>
      </c>
      <c r="AQ104" s="153">
        <f>SUM(Tabel2[[#This Row],[V 5]]*10+Tabel2[[#This Row],[GT 5]])/Tabel2[[#This Row],[AW 5]]*10+Tabel2[[#This Row],[BONUS 5]]</f>
        <v>0</v>
      </c>
      <c r="AS104">
        <v>1</v>
      </c>
      <c r="AW104" s="153">
        <f>SUM(Tabel2[[#This Row],[V 6]]*10+Tabel2[[#This Row],[GT 6]])/Tabel2[[#This Row],[AW 6]]*10+Tabel2[[#This Row],[BONUS 6]]</f>
        <v>0</v>
      </c>
      <c r="AY104">
        <v>1</v>
      </c>
      <c r="BC104" s="153">
        <f>SUM(Tabel2[[#This Row],[V 7]]*10+Tabel2[[#This Row],[GT 7]])/Tabel2[[#This Row],[AW 7]]*10+Tabel2[[#This Row],[BONUS 7]]</f>
        <v>0</v>
      </c>
      <c r="BE104">
        <v>1</v>
      </c>
      <c r="BI104" s="153">
        <f>SUM(Tabel2[[#This Row],[V 8]]*10+Tabel2[[#This Row],[GT 8]])/Tabel2[[#This Row],[AW 8]]*10+Tabel2[[#This Row],[BONUS 8]]</f>
        <v>0</v>
      </c>
      <c r="BK104">
        <v>1</v>
      </c>
      <c r="BO104" s="153">
        <f>SUM(Tabel2[[#This Row],[V 9]]*10+Tabel2[[#This Row],[GT 9]])/Tabel2[[#This Row],[AW 9]]*10+Tabel2[[#This Row],[BONUS 9]]</f>
        <v>0</v>
      </c>
      <c r="BQ104">
        <v>1</v>
      </c>
      <c r="BU104" s="23">
        <f>SUM(Tabel2[[#This Row],[V 10]]*10+Tabel2[[#This Row],[GT 10]])/Tabel2[[#This Row],[AW 10]]*10+Tabel2[[#This Row],[BONUS 10]]</f>
        <v>0</v>
      </c>
      <c r="BV10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4" s="22">
        <v>0</v>
      </c>
      <c r="BX104" s="22">
        <f>Tabel2[[#This Row],[Diploma]]-Tabel2[[#This Row],[Uitgeschreven]]</f>
        <v>0</v>
      </c>
      <c r="BY104" s="155" t="str">
        <f t="shared" si="15"/>
        <v>geen actie</v>
      </c>
      <c r="CA104" s="150">
        <f>Tabel2[[#This Row],[pnt t/m 2021/22]]</f>
        <v>50</v>
      </c>
      <c r="CB104" s="150">
        <f>Tabel2[[#This Row],[pnt 2022/2023]]</f>
        <v>0</v>
      </c>
      <c r="CC104" s="150">
        <f t="shared" si="14"/>
        <v>50</v>
      </c>
      <c r="CD104" s="150">
        <f>IF(Tabel2[[#This Row],[LPR 1]]&gt;0,1,0)</f>
        <v>0</v>
      </c>
      <c r="CE104" s="150">
        <f>IF(Tabel2[[#This Row],[LPR 2]]&gt;0,1,0)</f>
        <v>0</v>
      </c>
      <c r="CF104" s="150">
        <f>IF(Tabel2[[#This Row],[LPR 3]]&gt;0,1,0)</f>
        <v>0</v>
      </c>
      <c r="CG104" s="150">
        <f>IF(Tabel2[[#This Row],[LPR 4]]&gt;0,1,0)</f>
        <v>0</v>
      </c>
      <c r="CH104" s="150">
        <f>IF(Tabel2[[#This Row],[LPR 5]]&gt;0,1,0)</f>
        <v>0</v>
      </c>
      <c r="CI104" s="150">
        <f>IF(Tabel2[[#This Row],[LPR 6]]&gt;0,1,0)</f>
        <v>0</v>
      </c>
      <c r="CJ104" s="150">
        <f>IF(Tabel2[[#This Row],[LPR 7]]&gt;0,1,0)</f>
        <v>0</v>
      </c>
      <c r="CK104" s="150">
        <f>IF(Tabel2[[#This Row],[LPR 8]]&gt;0,1,0)</f>
        <v>0</v>
      </c>
      <c r="CL104" s="150">
        <f>IF(Tabel2[[#This Row],[LPR 9]]&gt;0,1,0)</f>
        <v>0</v>
      </c>
      <c r="CM104" s="150">
        <f>IF(Tabel2[[#This Row],[LPR 10]]&gt;0,1,0)</f>
        <v>0</v>
      </c>
      <c r="CN104" s="150">
        <f>SUM(Tabel7[[#This Row],[sep]:[jun]])</f>
        <v>0</v>
      </c>
      <c r="CO104" s="22" t="str">
        <f t="shared" si="9"/>
        <v/>
      </c>
      <c r="CP104" s="22" t="str">
        <f t="shared" si="10"/>
        <v/>
      </c>
      <c r="CQ104" s="22" t="str">
        <f t="shared" si="11"/>
        <v/>
      </c>
      <c r="CR104" s="22" t="str">
        <f t="shared" si="12"/>
        <v/>
      </c>
      <c r="CS104" s="22" t="str">
        <f t="shared" si="13"/>
        <v/>
      </c>
    </row>
    <row r="105" spans="1:97" x14ac:dyDescent="0.3">
      <c r="A105" s="22" t="s">
        <v>159</v>
      </c>
      <c r="B105" s="22" t="s">
        <v>149</v>
      </c>
      <c r="D105" s="22" t="s">
        <v>163</v>
      </c>
      <c r="E105" t="s">
        <v>287</v>
      </c>
      <c r="F105" s="22" t="s">
        <v>288</v>
      </c>
      <c r="G105" s="25" t="s">
        <v>162</v>
      </c>
      <c r="H105" s="142">
        <f>Tabel2[[#This Row],[pnt t/m 2021/22]]+Tabel2[[#This Row],[pnt 2022/2023]]</f>
        <v>588.32142857142856</v>
      </c>
      <c r="I105">
        <v>2011</v>
      </c>
      <c r="J105">
        <v>2022</v>
      </c>
      <c r="K105" s="24">
        <f>Tabel2[[#This Row],[ijkdatum]]-Tabel2[[#This Row],[Geboren]]</f>
        <v>11</v>
      </c>
      <c r="L105" s="26">
        <f>Tabel2[[#This Row],[TTL 1]]+Tabel2[[#This Row],[TTL 2]]+Tabel2[[#This Row],[TTL 3]]+Tabel2[[#This Row],[TTL 4]]+Tabel2[[#This Row],[TTL 5]]+Tabel2[[#This Row],[TTL 6]]+Tabel2[[#This Row],[TTL 7]]+Tabel2[[#This Row],[TTL 8]]+Tabel2[[#This Row],[TTL 9]]+Tabel2[[#This Row],[TTL 10]]</f>
        <v>0</v>
      </c>
      <c r="M105" s="141">
        <v>588.32142857142856</v>
      </c>
      <c r="O105">
        <v>1</v>
      </c>
      <c r="S105" s="23">
        <f>SUM(Tabel2[[#This Row],[V 1]]*10+Tabel2[[#This Row],[GT 1]])/Tabel2[[#This Row],[AW 1]]*10+Tabel2[[#This Row],[BONUS 1]]</f>
        <v>0</v>
      </c>
      <c r="U105">
        <v>1</v>
      </c>
      <c r="Y105" s="23">
        <f>SUM(Tabel2[[#This Row],[V 2]]*10+Tabel2[[#This Row],[GT 2]])/Tabel2[[#This Row],[AW 2]]*10+Tabel2[[#This Row],[BONUS 2]]</f>
        <v>0</v>
      </c>
      <c r="AA105">
        <v>1</v>
      </c>
      <c r="AE105" s="23">
        <f>SUM(Tabel2[[#This Row],[V 3]]*10+Tabel2[[#This Row],[GT 3]])/Tabel2[[#This Row],[AW 3]]*10+Tabel2[[#This Row],[BONUS 3]]</f>
        <v>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5" s="22">
        <v>500</v>
      </c>
      <c r="BX105" s="30">
        <f>Tabel2[[#This Row],[Diploma]]-Tabel2[[#This Row],[Uitgeschreven]]</f>
        <v>0</v>
      </c>
      <c r="BY105" s="2" t="str">
        <f t="shared" si="15"/>
        <v>geen actie</v>
      </c>
      <c r="CA105" s="150">
        <f>Tabel2[[#This Row],[pnt t/m 2021/22]]</f>
        <v>588.32142857142856</v>
      </c>
      <c r="CB105" s="150">
        <f>Tabel2[[#This Row],[pnt 2022/2023]]</f>
        <v>0</v>
      </c>
      <c r="CC105" s="150">
        <f t="shared" si="14"/>
        <v>588.32142857142856</v>
      </c>
      <c r="CD105" s="150">
        <f>IF(Tabel2[[#This Row],[LPR 1]]&gt;0,1,0)</f>
        <v>0</v>
      </c>
      <c r="CE105" s="150">
        <f>IF(Tabel2[[#This Row],[LPR 2]]&gt;0,1,0)</f>
        <v>0</v>
      </c>
      <c r="CF105" s="150">
        <f>IF(Tabel2[[#This Row],[LPR 3]]&gt;0,1,0)</f>
        <v>0</v>
      </c>
      <c r="CG105" s="150">
        <f>IF(Tabel2[[#This Row],[LPR 4]]&gt;0,1,0)</f>
        <v>0</v>
      </c>
      <c r="CH105" s="150">
        <f>IF(Tabel2[[#This Row],[LPR 5]]&gt;0,1,0)</f>
        <v>0</v>
      </c>
      <c r="CI105" s="150">
        <f>IF(Tabel2[[#This Row],[LPR 6]]&gt;0,1,0)</f>
        <v>0</v>
      </c>
      <c r="CJ105" s="150">
        <f>IF(Tabel2[[#This Row],[LPR 7]]&gt;0,1,0)</f>
        <v>0</v>
      </c>
      <c r="CK105" s="150">
        <f>IF(Tabel2[[#This Row],[LPR 8]]&gt;0,1,0)</f>
        <v>0</v>
      </c>
      <c r="CL105" s="150">
        <f>IF(Tabel2[[#This Row],[LPR 9]]&gt;0,1,0)</f>
        <v>0</v>
      </c>
      <c r="CM105" s="150">
        <f>IF(Tabel2[[#This Row],[LPR 10]]&gt;0,1,0)</f>
        <v>0</v>
      </c>
      <c r="CN105" s="150">
        <f>SUM(Tabel7[[#This Row],[sep]:[jun]])</f>
        <v>0</v>
      </c>
      <c r="CO105" s="22" t="str">
        <f t="shared" si="9"/>
        <v/>
      </c>
      <c r="CP105" s="22" t="str">
        <f t="shared" si="10"/>
        <v/>
      </c>
      <c r="CQ105" s="22" t="str">
        <f t="shared" si="11"/>
        <v/>
      </c>
      <c r="CR105" s="22" t="str">
        <f t="shared" si="12"/>
        <v/>
      </c>
      <c r="CS105" s="22" t="str">
        <f t="shared" si="13"/>
        <v/>
      </c>
    </row>
    <row r="106" spans="1:97" x14ac:dyDescent="0.3">
      <c r="A106" s="22" t="s">
        <v>159</v>
      </c>
      <c r="B106" s="22" t="s">
        <v>149</v>
      </c>
      <c r="D106" s="22" t="s">
        <v>163</v>
      </c>
      <c r="E106" t="s">
        <v>289</v>
      </c>
      <c r="F106" s="22">
        <v>118680</v>
      </c>
      <c r="G106" s="25" t="s">
        <v>162</v>
      </c>
      <c r="H106" s="142">
        <f>Tabel2[[#This Row],[pnt t/m 2021/22]]+Tabel2[[#This Row],[pnt 2022/2023]]</f>
        <v>1721.3529411764707</v>
      </c>
      <c r="I106">
        <v>2007</v>
      </c>
      <c r="J106">
        <v>2022</v>
      </c>
      <c r="K106" s="24">
        <f>Tabel2[[#This Row],[ijkdatum]]-Tabel2[[#This Row],[Geboren]]</f>
        <v>15</v>
      </c>
      <c r="L106" s="26">
        <f>Tabel2[[#This Row],[TTL 1]]+Tabel2[[#This Row],[TTL 2]]+Tabel2[[#This Row],[TTL 3]]+Tabel2[[#This Row],[TTL 4]]+Tabel2[[#This Row],[TTL 5]]+Tabel2[[#This Row],[TTL 6]]+Tabel2[[#This Row],[TTL 7]]+Tabel2[[#This Row],[TTL 8]]+Tabel2[[#This Row],[TTL 9]]+Tabel2[[#This Row],[TTL 10]]</f>
        <v>0</v>
      </c>
      <c r="M106" s="141">
        <v>1721.3529411764707</v>
      </c>
      <c r="O106">
        <v>1</v>
      </c>
      <c r="S106" s="2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G106">
        <v>1</v>
      </c>
      <c r="AK106" s="23">
        <f>SUM(Tabel2[[#This Row],[V 4]]*10+Tabel2[[#This Row],[GT 4]])/Tabel2[[#This Row],[AW 4]]*10+Tabel2[[#This Row],[BONUS 4]]</f>
        <v>0</v>
      </c>
      <c r="AM106">
        <v>1</v>
      </c>
      <c r="AQ106" s="23">
        <f>SUM(Tabel2[[#This Row],[V 5]]*10+Tabel2[[#This Row],[GT 5]])/Tabel2[[#This Row],[AW 5]]*10+Tabel2[[#This Row],[BONUS 5]]</f>
        <v>0</v>
      </c>
      <c r="AS106">
        <v>1</v>
      </c>
      <c r="AW106" s="23">
        <f>SUM(Tabel2[[#This Row],[V 6]]*10+Tabel2[[#This Row],[GT 6]])/Tabel2[[#This Row],[AW 6]]*10+Tabel2[[#This Row],[BONUS 6]]</f>
        <v>0</v>
      </c>
      <c r="AY106">
        <v>1</v>
      </c>
      <c r="BC106" s="23">
        <f>SUM(Tabel2[[#This Row],[V 7]]*10+Tabel2[[#This Row],[GT 7]])/Tabel2[[#This Row],[AW 7]]*10+Tabel2[[#This Row],[BONUS 7]]</f>
        <v>0</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06" s="22">
        <v>1500</v>
      </c>
      <c r="BX106" s="30">
        <f>Tabel2[[#This Row],[Diploma]]-Tabel2[[#This Row],[Uitgeschreven]]</f>
        <v>0</v>
      </c>
      <c r="BY106" s="2" t="str">
        <f t="shared" si="15"/>
        <v>geen actie</v>
      </c>
      <c r="CA106" s="150">
        <f>Tabel2[[#This Row],[pnt t/m 2021/22]]</f>
        <v>1721.3529411764707</v>
      </c>
      <c r="CB106" s="150">
        <f>Tabel2[[#This Row],[pnt 2022/2023]]</f>
        <v>0</v>
      </c>
      <c r="CC106" s="150">
        <f t="shared" si="14"/>
        <v>1721.3529411764707</v>
      </c>
      <c r="CD106" s="150">
        <f>IF(Tabel2[[#This Row],[LPR 1]]&gt;0,1,0)</f>
        <v>0</v>
      </c>
      <c r="CE106" s="150">
        <f>IF(Tabel2[[#This Row],[LPR 2]]&gt;0,1,0)</f>
        <v>0</v>
      </c>
      <c r="CF106" s="150">
        <f>IF(Tabel2[[#This Row],[LPR 3]]&gt;0,1,0)</f>
        <v>0</v>
      </c>
      <c r="CG106" s="150">
        <f>IF(Tabel2[[#This Row],[LPR 4]]&gt;0,1,0)</f>
        <v>0</v>
      </c>
      <c r="CH106" s="150">
        <f>IF(Tabel2[[#This Row],[LPR 5]]&gt;0,1,0)</f>
        <v>0</v>
      </c>
      <c r="CI106" s="150">
        <f>IF(Tabel2[[#This Row],[LPR 6]]&gt;0,1,0)</f>
        <v>0</v>
      </c>
      <c r="CJ106" s="150">
        <f>IF(Tabel2[[#This Row],[LPR 7]]&gt;0,1,0)</f>
        <v>0</v>
      </c>
      <c r="CK106" s="150">
        <f>IF(Tabel2[[#This Row],[LPR 8]]&gt;0,1,0)</f>
        <v>0</v>
      </c>
      <c r="CL106" s="150">
        <f>IF(Tabel2[[#This Row],[LPR 9]]&gt;0,1,0)</f>
        <v>0</v>
      </c>
      <c r="CM106" s="150">
        <f>IF(Tabel2[[#This Row],[LPR 10]]&gt;0,1,0)</f>
        <v>0</v>
      </c>
      <c r="CN106" s="150">
        <f>SUM(Tabel7[[#This Row],[sep]:[jun]])</f>
        <v>0</v>
      </c>
      <c r="CO106" s="22" t="str">
        <f t="shared" si="9"/>
        <v/>
      </c>
      <c r="CP106" s="22" t="str">
        <f t="shared" si="10"/>
        <v/>
      </c>
      <c r="CQ106" s="22" t="str">
        <f t="shared" si="11"/>
        <v/>
      </c>
      <c r="CR106" s="22" t="str">
        <f t="shared" si="12"/>
        <v/>
      </c>
      <c r="CS106" s="22" t="str">
        <f t="shared" si="13"/>
        <v/>
      </c>
    </row>
    <row r="107" spans="1:97" x14ac:dyDescent="0.3">
      <c r="A107" s="22" t="s">
        <v>148</v>
      </c>
      <c r="B107" s="22" t="s">
        <v>149</v>
      </c>
      <c r="D107" s="22" t="s">
        <v>150</v>
      </c>
      <c r="E107" t="s">
        <v>290</v>
      </c>
      <c r="F107" s="22">
        <v>120270</v>
      </c>
      <c r="G107" s="25" t="s">
        <v>162</v>
      </c>
      <c r="H107" s="23">
        <f>Tabel2[[#This Row],[pnt t/m 2021/22]]+Tabel2[[#This Row],[pnt 2022/2023]]</f>
        <v>989.80555555555554</v>
      </c>
      <c r="I107">
        <v>2007</v>
      </c>
      <c r="J107">
        <v>2022</v>
      </c>
      <c r="K107" s="24">
        <f>Tabel2[[#This Row],[ijkdatum]]-Tabel2[[#This Row],[Geboren]]</f>
        <v>15</v>
      </c>
      <c r="L107" s="26">
        <f>Tabel2[[#This Row],[TTL 1]]+Tabel2[[#This Row],[TTL 2]]+Tabel2[[#This Row],[TTL 3]]+Tabel2[[#This Row],[TTL 4]]+Tabel2[[#This Row],[TTL 5]]+Tabel2[[#This Row],[TTL 6]]+Tabel2[[#This Row],[TTL 7]]+Tabel2[[#This Row],[TTL 8]]+Tabel2[[#This Row],[TTL 9]]+Tabel2[[#This Row],[TTL 10]]</f>
        <v>107.75</v>
      </c>
      <c r="M107" s="153">
        <v>882.05555555555554</v>
      </c>
      <c r="N107">
        <v>1</v>
      </c>
      <c r="O107">
        <v>10</v>
      </c>
      <c r="P107">
        <v>2</v>
      </c>
      <c r="Q107">
        <v>29</v>
      </c>
      <c r="S107" s="23">
        <f>SUM(Tabel2[[#This Row],[V 1]]*10+Tabel2[[#This Row],[GT 1]])/Tabel2[[#This Row],[AW 1]]*10+Tabel2[[#This Row],[BONUS 1]]</f>
        <v>49</v>
      </c>
      <c r="U107">
        <v>1</v>
      </c>
      <c r="Y107" s="23">
        <f>SUM(Tabel2[[#This Row],[V 2]]*10+Tabel2[[#This Row],[GT 2]])/Tabel2[[#This Row],[AW 2]]*10+Tabel2[[#This Row],[BONUS 2]]</f>
        <v>0</v>
      </c>
      <c r="Z107">
        <v>1</v>
      </c>
      <c r="AA107">
        <v>8</v>
      </c>
      <c r="AB107">
        <v>2</v>
      </c>
      <c r="AC107">
        <v>27</v>
      </c>
      <c r="AE107" s="23">
        <f>SUM(Tabel2[[#This Row],[V 3]]*10+Tabel2[[#This Row],[GT 3]])/Tabel2[[#This Row],[AW 3]]*10+Tabel2[[#This Row],[BONUS 3]]</f>
        <v>58.75</v>
      </c>
      <c r="AG107">
        <v>1</v>
      </c>
      <c r="AK107" s="23">
        <f>SUM(Tabel2[[#This Row],[V 4]]*10+Tabel2[[#This Row],[GT 4]])/Tabel2[[#This Row],[AW 4]]*10+Tabel2[[#This Row],[BONUS 4]]</f>
        <v>0</v>
      </c>
      <c r="AM107">
        <v>1</v>
      </c>
      <c r="AQ107" s="23">
        <f>SUM(Tabel2[[#This Row],[V 5]]*10+Tabel2[[#This Row],[GT 5]])/Tabel2[[#This Row],[AW 5]]*10+Tabel2[[#This Row],[BONUS 5]]</f>
        <v>0</v>
      </c>
      <c r="AS107">
        <v>1</v>
      </c>
      <c r="AW107" s="23">
        <f>SUM(Tabel2[[#This Row],[V 6]]*10+Tabel2[[#This Row],[GT 6]])/Tabel2[[#This Row],[AW 6]]*10+Tabel2[[#This Row],[BONUS 6]]</f>
        <v>0</v>
      </c>
      <c r="AY107">
        <v>1</v>
      </c>
      <c r="BC107" s="23">
        <f>SUM(Tabel2[[#This Row],[V 7]]*10+Tabel2[[#This Row],[GT 7]])/Tabel2[[#This Row],[AW 7]]*10+Tabel2[[#This Row],[BONUS 7]]</f>
        <v>0</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7" s="22">
        <v>750</v>
      </c>
      <c r="BX107" s="22">
        <f>Tabel2[[#This Row],[Diploma]]-Tabel2[[#This Row],[Uitgeschreven]]</f>
        <v>0</v>
      </c>
      <c r="BY107" s="155" t="str">
        <f t="shared" si="15"/>
        <v>geen actie</v>
      </c>
      <c r="CA107" s="150">
        <f>Tabel2[[#This Row],[pnt t/m 2021/22]]</f>
        <v>882.05555555555554</v>
      </c>
      <c r="CB107" s="150">
        <f>Tabel2[[#This Row],[pnt 2022/2023]]</f>
        <v>107.75</v>
      </c>
      <c r="CC107" s="150">
        <f t="shared" si="14"/>
        <v>989.80555555555554</v>
      </c>
      <c r="CD107" s="150">
        <f>IF(Tabel2[[#This Row],[LPR 1]]&gt;0,1,0)</f>
        <v>1</v>
      </c>
      <c r="CE107" s="150">
        <f>IF(Tabel2[[#This Row],[LPR 2]]&gt;0,1,0)</f>
        <v>0</v>
      </c>
      <c r="CF107" s="150">
        <f>IF(Tabel2[[#This Row],[LPR 3]]&gt;0,1,0)</f>
        <v>1</v>
      </c>
      <c r="CG107" s="150">
        <f>IF(Tabel2[[#This Row],[LPR 4]]&gt;0,1,0)</f>
        <v>0</v>
      </c>
      <c r="CH107" s="150">
        <f>IF(Tabel2[[#This Row],[LPR 5]]&gt;0,1,0)</f>
        <v>0</v>
      </c>
      <c r="CI107" s="150">
        <f>IF(Tabel2[[#This Row],[LPR 6]]&gt;0,1,0)</f>
        <v>0</v>
      </c>
      <c r="CJ107" s="150">
        <f>IF(Tabel2[[#This Row],[LPR 7]]&gt;0,1,0)</f>
        <v>0</v>
      </c>
      <c r="CK107" s="150">
        <f>IF(Tabel2[[#This Row],[LPR 8]]&gt;0,1,0)</f>
        <v>0</v>
      </c>
      <c r="CL107" s="150">
        <f>IF(Tabel2[[#This Row],[LPR 9]]&gt;0,1,0)</f>
        <v>0</v>
      </c>
      <c r="CM107" s="150">
        <f>IF(Tabel2[[#This Row],[LPR 10]]&gt;0,1,0)</f>
        <v>0</v>
      </c>
      <c r="CN107" s="150">
        <f>SUM(Tabel7[[#This Row],[sep]:[jun]])</f>
        <v>2</v>
      </c>
      <c r="CO107" s="22" t="str">
        <f t="shared" si="9"/>
        <v/>
      </c>
      <c r="CP107" s="22" t="str">
        <f t="shared" si="10"/>
        <v/>
      </c>
      <c r="CQ107" s="22" t="str">
        <f t="shared" si="11"/>
        <v/>
      </c>
      <c r="CR107" s="22" t="str">
        <f t="shared" si="12"/>
        <v/>
      </c>
      <c r="CS107" s="22" t="str">
        <f t="shared" si="13"/>
        <v/>
      </c>
    </row>
    <row r="108" spans="1:97" x14ac:dyDescent="0.3">
      <c r="A108" s="22" t="s">
        <v>153</v>
      </c>
      <c r="B108" s="22" t="s">
        <v>157</v>
      </c>
      <c r="D108" s="22" t="s">
        <v>163</v>
      </c>
      <c r="E108" t="s">
        <v>291</v>
      </c>
      <c r="F108" s="22">
        <v>120086</v>
      </c>
      <c r="G108" s="25" t="s">
        <v>211</v>
      </c>
      <c r="H108" s="23">
        <f>Tabel2[[#This Row],[pnt t/m 2021/22]]+Tabel2[[#This Row],[pnt 2022/2023]]</f>
        <v>65</v>
      </c>
      <c r="I108">
        <v>2011</v>
      </c>
      <c r="J108">
        <v>2022</v>
      </c>
      <c r="K108" s="24">
        <f>Tabel2[[#This Row],[ijkdatum]]-Tabel2[[#This Row],[Geboren]]</f>
        <v>11</v>
      </c>
      <c r="L108" s="26">
        <f>Tabel2[[#This Row],[TTL 1]]+Tabel2[[#This Row],[TTL 2]]+Tabel2[[#This Row],[TTL 3]]+Tabel2[[#This Row],[TTL 4]]+Tabel2[[#This Row],[TTL 5]]+Tabel2[[#This Row],[TTL 6]]+Tabel2[[#This Row],[TTL 7]]+Tabel2[[#This Row],[TTL 8]]+Tabel2[[#This Row],[TTL 9]]+Tabel2[[#This Row],[TTL 10]]</f>
        <v>0</v>
      </c>
      <c r="M108" s="153">
        <v>65</v>
      </c>
      <c r="O108">
        <v>1</v>
      </c>
      <c r="S108" s="153">
        <f>SUM(Tabel2[[#This Row],[V 1]]*10+Tabel2[[#This Row],[GT 1]])/Tabel2[[#This Row],[AW 1]]*10+Tabel2[[#This Row],[BONUS 1]]</f>
        <v>0</v>
      </c>
      <c r="U108">
        <v>1</v>
      </c>
      <c r="Y108" s="153">
        <f>SUM(Tabel2[[#This Row],[V 2]]*10+Tabel2[[#This Row],[GT 2]])/Tabel2[[#This Row],[AW 2]]*10+Tabel2[[#This Row],[BONUS 2]]</f>
        <v>0</v>
      </c>
      <c r="AA108">
        <v>1</v>
      </c>
      <c r="AE108" s="153">
        <f>SUM(Tabel2[[#This Row],[V 3]]*10+Tabel2[[#This Row],[GT 3]])/Tabel2[[#This Row],[AW 3]]*10+Tabel2[[#This Row],[BONUS 3]]</f>
        <v>0</v>
      </c>
      <c r="AG108">
        <v>1</v>
      </c>
      <c r="AK108" s="153">
        <f>SUM(Tabel2[[#This Row],[V 4]]*10+Tabel2[[#This Row],[GT 4]])/Tabel2[[#This Row],[AW 4]]*10+Tabel2[[#This Row],[BONUS 4]]</f>
        <v>0</v>
      </c>
      <c r="AM108">
        <v>1</v>
      </c>
      <c r="AQ108" s="153">
        <f>SUM(Tabel2[[#This Row],[V 5]]*10+Tabel2[[#This Row],[GT 5]])/Tabel2[[#This Row],[AW 5]]*10+Tabel2[[#This Row],[BONUS 5]]</f>
        <v>0</v>
      </c>
      <c r="AS108">
        <v>1</v>
      </c>
      <c r="AW108" s="153">
        <f>SUM(Tabel2[[#This Row],[V 6]]*10+Tabel2[[#This Row],[GT 6]])/Tabel2[[#This Row],[AW 6]]*10+Tabel2[[#This Row],[BONUS 6]]</f>
        <v>0</v>
      </c>
      <c r="AY108">
        <v>1</v>
      </c>
      <c r="BC108" s="153">
        <f>SUM(Tabel2[[#This Row],[V 7]]*10+Tabel2[[#This Row],[GT 7]])/Tabel2[[#This Row],[AW 7]]*10+Tabel2[[#This Row],[BONUS 7]]</f>
        <v>0</v>
      </c>
      <c r="BE108">
        <v>1</v>
      </c>
      <c r="BI108" s="153">
        <f>SUM(Tabel2[[#This Row],[V 8]]*10+Tabel2[[#This Row],[GT 8]])/Tabel2[[#This Row],[AW 8]]*10+Tabel2[[#This Row],[BONUS 8]]</f>
        <v>0</v>
      </c>
      <c r="BK108">
        <v>1</v>
      </c>
      <c r="BO108" s="153">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55" t="str">
        <f t="shared" si="15"/>
        <v>geen actie</v>
      </c>
      <c r="CA108" s="150">
        <f>Tabel2[[#This Row],[pnt t/m 2021/22]]</f>
        <v>65</v>
      </c>
      <c r="CB108" s="150">
        <f>Tabel2[[#This Row],[pnt 2022/2023]]</f>
        <v>0</v>
      </c>
      <c r="CC108" s="150">
        <f t="shared" si="14"/>
        <v>65</v>
      </c>
      <c r="CD108" s="150">
        <f>IF(Tabel2[[#This Row],[LPR 1]]&gt;0,1,0)</f>
        <v>0</v>
      </c>
      <c r="CE108" s="150">
        <f>IF(Tabel2[[#This Row],[LPR 2]]&gt;0,1,0)</f>
        <v>0</v>
      </c>
      <c r="CF108" s="150">
        <f>IF(Tabel2[[#This Row],[LPR 3]]&gt;0,1,0)</f>
        <v>0</v>
      </c>
      <c r="CG108" s="150">
        <f>IF(Tabel2[[#This Row],[LPR 4]]&gt;0,1,0)</f>
        <v>0</v>
      </c>
      <c r="CH108" s="150">
        <f>IF(Tabel2[[#This Row],[LPR 5]]&gt;0,1,0)</f>
        <v>0</v>
      </c>
      <c r="CI108" s="150">
        <f>IF(Tabel2[[#This Row],[LPR 6]]&gt;0,1,0)</f>
        <v>0</v>
      </c>
      <c r="CJ108" s="150">
        <f>IF(Tabel2[[#This Row],[LPR 7]]&gt;0,1,0)</f>
        <v>0</v>
      </c>
      <c r="CK108" s="150">
        <f>IF(Tabel2[[#This Row],[LPR 8]]&gt;0,1,0)</f>
        <v>0</v>
      </c>
      <c r="CL108" s="150">
        <f>IF(Tabel2[[#This Row],[LPR 9]]&gt;0,1,0)</f>
        <v>0</v>
      </c>
      <c r="CM108" s="150">
        <f>IF(Tabel2[[#This Row],[LPR 10]]&gt;0,1,0)</f>
        <v>0</v>
      </c>
      <c r="CN108" s="150">
        <f>SUM(Tabel7[[#This Row],[sep]:[jun]])</f>
        <v>0</v>
      </c>
      <c r="CO108" s="22" t="str">
        <f t="shared" si="9"/>
        <v/>
      </c>
      <c r="CP108" s="22" t="str">
        <f t="shared" si="10"/>
        <v/>
      </c>
      <c r="CQ108" s="22" t="str">
        <f t="shared" si="11"/>
        <v/>
      </c>
      <c r="CR108" s="22" t="str">
        <f t="shared" si="12"/>
        <v/>
      </c>
      <c r="CS108" s="22" t="str">
        <f t="shared" si="13"/>
        <v/>
      </c>
    </row>
    <row r="109" spans="1:97" x14ac:dyDescent="0.3">
      <c r="A109" s="22" t="s">
        <v>156</v>
      </c>
      <c r="B109" s="22" t="s">
        <v>157</v>
      </c>
      <c r="D109" s="22" t="s">
        <v>160</v>
      </c>
      <c r="E109" t="s">
        <v>292</v>
      </c>
      <c r="F109" s="22">
        <v>120286</v>
      </c>
      <c r="G109" s="25" t="s">
        <v>155</v>
      </c>
      <c r="H109" s="23">
        <f>Tabel2[[#This Row],[pnt t/m 2021/22]]+Tabel2[[#This Row],[pnt 2022/2023]]</f>
        <v>155.25</v>
      </c>
      <c r="I109">
        <v>2010</v>
      </c>
      <c r="J109">
        <v>2022</v>
      </c>
      <c r="K109" s="24">
        <f>Tabel2[[#This Row],[ijkdatum]]-Tabel2[[#This Row],[Geboren]]</f>
        <v>12</v>
      </c>
      <c r="L109" s="26">
        <f>Tabel2[[#This Row],[TTL 1]]+Tabel2[[#This Row],[TTL 2]]+Tabel2[[#This Row],[TTL 3]]+Tabel2[[#This Row],[TTL 4]]+Tabel2[[#This Row],[TTL 5]]+Tabel2[[#This Row],[TTL 6]]+Tabel2[[#This Row],[TTL 7]]+Tabel2[[#This Row],[TTL 8]]+Tabel2[[#This Row],[TTL 9]]+Tabel2[[#This Row],[TTL 10]]</f>
        <v>94</v>
      </c>
      <c r="M109" s="153">
        <v>61.25</v>
      </c>
      <c r="O109">
        <v>1</v>
      </c>
      <c r="S109" s="153">
        <f>SUM(Tabel2[[#This Row],[V 1]]*10+Tabel2[[#This Row],[GT 1]])/Tabel2[[#This Row],[AW 1]]*10+Tabel2[[#This Row],[BONUS 1]]</f>
        <v>0</v>
      </c>
      <c r="T109">
        <v>5</v>
      </c>
      <c r="U109">
        <v>10</v>
      </c>
      <c r="V109">
        <v>6</v>
      </c>
      <c r="W109">
        <v>34</v>
      </c>
      <c r="Y109" s="153">
        <f>SUM(Tabel2[[#This Row],[V 2]]*10+Tabel2[[#This Row],[GT 2]])/Tabel2[[#This Row],[AW 2]]*10+Tabel2[[#This Row],[BONUS 2]]</f>
        <v>94</v>
      </c>
      <c r="AA109">
        <v>1</v>
      </c>
      <c r="AE109" s="153">
        <f>SUM(Tabel2[[#This Row],[V 3]]*10+Tabel2[[#This Row],[GT 3]])/Tabel2[[#This Row],[AW 3]]*10+Tabel2[[#This Row],[BONUS 3]]</f>
        <v>0</v>
      </c>
      <c r="AG109">
        <v>1</v>
      </c>
      <c r="AK109" s="153">
        <f>SUM(Tabel2[[#This Row],[V 4]]*10+Tabel2[[#This Row],[GT 4]])/Tabel2[[#This Row],[AW 4]]*10+Tabel2[[#This Row],[BONUS 4]]</f>
        <v>0</v>
      </c>
      <c r="AM109">
        <v>1</v>
      </c>
      <c r="AQ109" s="153">
        <f>SUM(Tabel2[[#This Row],[V 5]]*10+Tabel2[[#This Row],[GT 5]])/Tabel2[[#This Row],[AW 5]]*10+Tabel2[[#This Row],[BONUS 5]]</f>
        <v>0</v>
      </c>
      <c r="AS109">
        <v>1</v>
      </c>
      <c r="AW109" s="153">
        <f>SUM(Tabel2[[#This Row],[V 6]]*10+Tabel2[[#This Row],[GT 6]])/Tabel2[[#This Row],[AW 6]]*10+Tabel2[[#This Row],[BONUS 6]]</f>
        <v>0</v>
      </c>
      <c r="AY109">
        <v>1</v>
      </c>
      <c r="BC109" s="153">
        <f>SUM(Tabel2[[#This Row],[V 7]]*10+Tabel2[[#This Row],[GT 7]])/Tabel2[[#This Row],[AW 7]]*10+Tabel2[[#This Row],[BONUS 7]]</f>
        <v>0</v>
      </c>
      <c r="BE109">
        <v>1</v>
      </c>
      <c r="BI109" s="153">
        <f>SUM(Tabel2[[#This Row],[V 8]]*10+Tabel2[[#This Row],[GT 8]])/Tabel2[[#This Row],[AW 8]]*10+Tabel2[[#This Row],[BONUS 8]]</f>
        <v>0</v>
      </c>
      <c r="BK109">
        <v>1</v>
      </c>
      <c r="BO109" s="153">
        <f>SUM(Tabel2[[#This Row],[V 9]]*10+Tabel2[[#This Row],[GT 9]])/Tabel2[[#This Row],[AW 9]]*10+Tabel2[[#This Row],[BONUS 9]]</f>
        <v>0</v>
      </c>
      <c r="BQ109">
        <v>1</v>
      </c>
      <c r="BU109" s="23">
        <f>SUM(Tabel2[[#This Row],[V 10]]*10+Tabel2[[#This Row],[GT 10]])/Tabel2[[#This Row],[AW 10]]*10+Tabel2[[#This Row],[BONUS 10]]</f>
        <v>0</v>
      </c>
      <c r="BV10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9" s="22">
        <v>0</v>
      </c>
      <c r="BX109" s="22">
        <f>Tabel2[[#This Row],[Diploma]]-Tabel2[[#This Row],[Uitgeschreven]]</f>
        <v>0</v>
      </c>
      <c r="BY109" s="155" t="str">
        <f t="shared" si="15"/>
        <v>geen actie</v>
      </c>
      <c r="CA109" s="150">
        <f>Tabel2[[#This Row],[pnt t/m 2021/22]]</f>
        <v>61.25</v>
      </c>
      <c r="CB109" s="150">
        <f>Tabel2[[#This Row],[pnt 2022/2023]]</f>
        <v>94</v>
      </c>
      <c r="CC109" s="150">
        <f t="shared" si="14"/>
        <v>155.25</v>
      </c>
      <c r="CD109" s="150">
        <f>IF(Tabel2[[#This Row],[LPR 1]]&gt;0,1,0)</f>
        <v>0</v>
      </c>
      <c r="CE109" s="150">
        <f>IF(Tabel2[[#This Row],[LPR 2]]&gt;0,1,0)</f>
        <v>1</v>
      </c>
      <c r="CF109" s="150">
        <f>IF(Tabel2[[#This Row],[LPR 3]]&gt;0,1,0)</f>
        <v>0</v>
      </c>
      <c r="CG109" s="150">
        <f>IF(Tabel2[[#This Row],[LPR 4]]&gt;0,1,0)</f>
        <v>0</v>
      </c>
      <c r="CH109" s="150">
        <f>IF(Tabel2[[#This Row],[LPR 5]]&gt;0,1,0)</f>
        <v>0</v>
      </c>
      <c r="CI109" s="150">
        <f>IF(Tabel2[[#This Row],[LPR 6]]&gt;0,1,0)</f>
        <v>0</v>
      </c>
      <c r="CJ109" s="150">
        <f>IF(Tabel2[[#This Row],[LPR 7]]&gt;0,1,0)</f>
        <v>0</v>
      </c>
      <c r="CK109" s="150">
        <f>IF(Tabel2[[#This Row],[LPR 8]]&gt;0,1,0)</f>
        <v>0</v>
      </c>
      <c r="CL109" s="150">
        <f>IF(Tabel2[[#This Row],[LPR 9]]&gt;0,1,0)</f>
        <v>0</v>
      </c>
      <c r="CM109" s="150">
        <f>IF(Tabel2[[#This Row],[LPR 10]]&gt;0,1,0)</f>
        <v>0</v>
      </c>
      <c r="CN109" s="150">
        <f>SUM(Tabel7[[#This Row],[sep]:[jun]])</f>
        <v>1</v>
      </c>
      <c r="CO109" s="22" t="str">
        <f t="shared" si="9"/>
        <v/>
      </c>
      <c r="CP109" s="22" t="str">
        <f t="shared" si="10"/>
        <v/>
      </c>
      <c r="CQ109" s="22" t="str">
        <f t="shared" si="11"/>
        <v/>
      </c>
      <c r="CR109" s="22" t="str">
        <f t="shared" si="12"/>
        <v/>
      </c>
      <c r="CS109" s="22" t="str">
        <f t="shared" si="13"/>
        <v/>
      </c>
    </row>
    <row r="110" spans="1:97" x14ac:dyDescent="0.3">
      <c r="A110" s="22" t="s">
        <v>156</v>
      </c>
      <c r="B110" s="22" t="s">
        <v>149</v>
      </c>
      <c r="D110" s="22" t="s">
        <v>163</v>
      </c>
      <c r="E110" t="s">
        <v>293</v>
      </c>
      <c r="F110" s="22">
        <v>120486</v>
      </c>
      <c r="G110" s="25" t="s">
        <v>206</v>
      </c>
      <c r="H110" s="23">
        <f>Tabel2[[#This Row],[pnt t/m 2021/22]]+Tabel2[[#This Row],[pnt 2022/2023]]</f>
        <v>813.21428571428567</v>
      </c>
      <c r="I110">
        <v>2010</v>
      </c>
      <c r="J110">
        <v>2022</v>
      </c>
      <c r="K110" s="24">
        <f>Tabel2[[#This Row],[ijkdatum]]-Tabel2[[#This Row],[Geboren]]</f>
        <v>12</v>
      </c>
      <c r="L110" s="26">
        <f>Tabel2[[#This Row],[TTL 1]]+Tabel2[[#This Row],[TTL 2]]+Tabel2[[#This Row],[TTL 3]]+Tabel2[[#This Row],[TTL 4]]+Tabel2[[#This Row],[TTL 5]]+Tabel2[[#This Row],[TTL 6]]+Tabel2[[#This Row],[TTL 7]]+Tabel2[[#This Row],[TTL 8]]+Tabel2[[#This Row],[TTL 9]]+Tabel2[[#This Row],[TTL 10]]</f>
        <v>0</v>
      </c>
      <c r="M110" s="153">
        <v>813.21428571428567</v>
      </c>
      <c r="O110">
        <v>1</v>
      </c>
      <c r="S110" s="153">
        <f>SUM(Tabel2[[#This Row],[V 1]]*10+Tabel2[[#This Row],[GT 1]])/Tabel2[[#This Row],[AW 1]]*10+Tabel2[[#This Row],[BONUS 1]]</f>
        <v>0</v>
      </c>
      <c r="U110">
        <v>1</v>
      </c>
      <c r="Y110" s="23">
        <f>SUM(Tabel2[[#This Row],[V 2]]*10+Tabel2[[#This Row],[GT 2]])/Tabel2[[#This Row],[AW 2]]*10+Tabel2[[#This Row],[BONUS 2]]</f>
        <v>0</v>
      </c>
      <c r="AA110">
        <v>1</v>
      </c>
      <c r="AE110" s="23">
        <f>SUM(Tabel2[[#This Row],[V 3]]*10+Tabel2[[#This Row],[GT 3]])/Tabel2[[#This Row],[AW 3]]*10+Tabel2[[#This Row],[BONUS 3]]</f>
        <v>0</v>
      </c>
      <c r="AG110">
        <v>1</v>
      </c>
      <c r="AK110" s="23">
        <f>SUM(Tabel2[[#This Row],[V 4]]*10+Tabel2[[#This Row],[GT 4]])/Tabel2[[#This Row],[AW 4]]*10+Tabel2[[#This Row],[BONUS 4]]</f>
        <v>0</v>
      </c>
      <c r="AM110">
        <v>1</v>
      </c>
      <c r="AQ110" s="23">
        <f>SUM(Tabel2[[#This Row],[V 5]]*10+Tabel2[[#This Row],[GT 5]])/Tabel2[[#This Row],[AW 5]]*10+Tabel2[[#This Row],[BONUS 5]]</f>
        <v>0</v>
      </c>
      <c r="AS110">
        <v>1</v>
      </c>
      <c r="AW110" s="23">
        <f>SUM(Tabel2[[#This Row],[V 6]]*10+Tabel2[[#This Row],[GT 6]])/Tabel2[[#This Row],[AW 6]]*10+Tabel2[[#This Row],[BONUS 6]]</f>
        <v>0</v>
      </c>
      <c r="AY110">
        <v>1</v>
      </c>
      <c r="BC110" s="23">
        <f>SUM(Tabel2[[#This Row],[V 7]]*10+Tabel2[[#This Row],[GT 7]])/Tabel2[[#This Row],[AW 7]]*10+Tabel2[[#This Row],[BONUS 7]]</f>
        <v>0</v>
      </c>
      <c r="BE110">
        <v>1</v>
      </c>
      <c r="BI110" s="23">
        <f>SUM(Tabel2[[#This Row],[V 8]]*10+Tabel2[[#This Row],[GT 8]])/Tabel2[[#This Row],[AW 8]]*10+Tabel2[[#This Row],[BONUS 8]]</f>
        <v>0</v>
      </c>
      <c r="BK110">
        <v>1</v>
      </c>
      <c r="BO110" s="23">
        <f>SUM(Tabel2[[#This Row],[V 9]]*10+Tabel2[[#This Row],[GT 9]])/Tabel2[[#This Row],[AW 9]]*10+Tabel2[[#This Row],[BONUS 9]]</f>
        <v>0</v>
      </c>
      <c r="BQ110">
        <v>1</v>
      </c>
      <c r="BU110" s="23">
        <f>SUM(Tabel2[[#This Row],[V 10]]*10+Tabel2[[#This Row],[GT 10]])/Tabel2[[#This Row],[AW 10]]*10+Tabel2[[#This Row],[BONUS 10]]</f>
        <v>0</v>
      </c>
      <c r="BV1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0" s="22">
        <v>750</v>
      </c>
      <c r="BX110" s="22">
        <f>Tabel2[[#This Row],[Diploma]]-Tabel2[[#This Row],[Uitgeschreven]]</f>
        <v>0</v>
      </c>
      <c r="BY110" s="155" t="str">
        <f t="shared" si="15"/>
        <v>geen actie</v>
      </c>
      <c r="CA110" s="150">
        <f>Tabel2[[#This Row],[pnt t/m 2021/22]]</f>
        <v>813.21428571428567</v>
      </c>
      <c r="CB110" s="150">
        <f>Tabel2[[#This Row],[pnt 2022/2023]]</f>
        <v>0</v>
      </c>
      <c r="CC110" s="150">
        <f t="shared" si="14"/>
        <v>813.21428571428567</v>
      </c>
      <c r="CD110" s="150">
        <f>IF(Tabel2[[#This Row],[LPR 1]]&gt;0,1,0)</f>
        <v>0</v>
      </c>
      <c r="CE110" s="150">
        <f>IF(Tabel2[[#This Row],[LPR 2]]&gt;0,1,0)</f>
        <v>0</v>
      </c>
      <c r="CF110" s="150">
        <f>IF(Tabel2[[#This Row],[LPR 3]]&gt;0,1,0)</f>
        <v>0</v>
      </c>
      <c r="CG110" s="150">
        <f>IF(Tabel2[[#This Row],[LPR 4]]&gt;0,1,0)</f>
        <v>0</v>
      </c>
      <c r="CH110" s="150">
        <f>IF(Tabel2[[#This Row],[LPR 5]]&gt;0,1,0)</f>
        <v>0</v>
      </c>
      <c r="CI110" s="150">
        <f>IF(Tabel2[[#This Row],[LPR 6]]&gt;0,1,0)</f>
        <v>0</v>
      </c>
      <c r="CJ110" s="150">
        <f>IF(Tabel2[[#This Row],[LPR 7]]&gt;0,1,0)</f>
        <v>0</v>
      </c>
      <c r="CK110" s="150">
        <f>IF(Tabel2[[#This Row],[LPR 8]]&gt;0,1,0)</f>
        <v>0</v>
      </c>
      <c r="CL110" s="150">
        <f>IF(Tabel2[[#This Row],[LPR 9]]&gt;0,1,0)</f>
        <v>0</v>
      </c>
      <c r="CM110" s="150">
        <f>IF(Tabel2[[#This Row],[LPR 10]]&gt;0,1,0)</f>
        <v>0</v>
      </c>
      <c r="CN110" s="150">
        <f>SUM(Tabel7[[#This Row],[sep]:[jun]])</f>
        <v>0</v>
      </c>
      <c r="CO110" s="22" t="str">
        <f t="shared" si="9"/>
        <v/>
      </c>
      <c r="CP110" s="22" t="str">
        <f t="shared" si="10"/>
        <v/>
      </c>
      <c r="CQ110" s="22" t="str">
        <f t="shared" si="11"/>
        <v/>
      </c>
      <c r="CR110" s="22" t="str">
        <f t="shared" si="12"/>
        <v/>
      </c>
      <c r="CS110" s="22" t="str">
        <f t="shared" si="13"/>
        <v/>
      </c>
    </row>
    <row r="111" spans="1:97" x14ac:dyDescent="0.3">
      <c r="A111" s="22" t="s">
        <v>156</v>
      </c>
      <c r="B111" s="22" t="s">
        <v>149</v>
      </c>
      <c r="D111" s="22" t="s">
        <v>163</v>
      </c>
      <c r="E111" t="s">
        <v>294</v>
      </c>
      <c r="F111" s="22">
        <v>120482</v>
      </c>
      <c r="G111" s="25" t="s">
        <v>206</v>
      </c>
      <c r="H111" s="23">
        <f>Tabel2[[#This Row],[pnt t/m 2021/22]]+Tabel2[[#This Row],[pnt 2022/2023]]</f>
        <v>713.45238095238096</v>
      </c>
      <c r="I111">
        <v>2010</v>
      </c>
      <c r="J111">
        <v>2022</v>
      </c>
      <c r="K111" s="24">
        <f>Tabel2[[#This Row],[ijkdatum]]-Tabel2[[#This Row],[Geboren]]</f>
        <v>12</v>
      </c>
      <c r="L111" s="26">
        <f>Tabel2[[#This Row],[TTL 1]]+Tabel2[[#This Row],[TTL 2]]+Tabel2[[#This Row],[TTL 3]]+Tabel2[[#This Row],[TTL 4]]+Tabel2[[#This Row],[TTL 5]]+Tabel2[[#This Row],[TTL 6]]+Tabel2[[#This Row],[TTL 7]]+Tabel2[[#This Row],[TTL 8]]+Tabel2[[#This Row],[TTL 9]]+Tabel2[[#This Row],[TTL 10]]</f>
        <v>0</v>
      </c>
      <c r="M111" s="153">
        <v>713.45238095238096</v>
      </c>
      <c r="O111">
        <v>1</v>
      </c>
      <c r="S111" s="153">
        <f>SUM(Tabel2[[#This Row],[V 1]]*10+Tabel2[[#This Row],[GT 1]])/Tabel2[[#This Row],[AW 1]]*10+Tabel2[[#This Row],[BONUS 1]]</f>
        <v>0</v>
      </c>
      <c r="U111">
        <v>1</v>
      </c>
      <c r="Y111" s="23">
        <f>SUM(Tabel2[[#This Row],[V 2]]*10+Tabel2[[#This Row],[GT 2]])/Tabel2[[#This Row],[AW 2]]*10+Tabel2[[#This Row],[BONUS 2]]</f>
        <v>0</v>
      </c>
      <c r="AA111">
        <v>1</v>
      </c>
      <c r="AE111" s="23">
        <f>SUM(Tabel2[[#This Row],[V 3]]*10+Tabel2[[#This Row],[GT 3]])/Tabel2[[#This Row],[AW 3]]*10+Tabel2[[#This Row],[BONUS 3]]</f>
        <v>0</v>
      </c>
      <c r="AG111">
        <v>1</v>
      </c>
      <c r="AK111" s="23">
        <f>SUM(Tabel2[[#This Row],[V 4]]*10+Tabel2[[#This Row],[GT 4]])/Tabel2[[#This Row],[AW 4]]*10+Tabel2[[#This Row],[BONUS 4]]</f>
        <v>0</v>
      </c>
      <c r="AM111">
        <v>1</v>
      </c>
      <c r="AQ111" s="23">
        <f>SUM(Tabel2[[#This Row],[V 5]]*10+Tabel2[[#This Row],[GT 5]])/Tabel2[[#This Row],[AW 5]]*10+Tabel2[[#This Row],[BONUS 5]]</f>
        <v>0</v>
      </c>
      <c r="AS111">
        <v>1</v>
      </c>
      <c r="AW111" s="23">
        <f>SUM(Tabel2[[#This Row],[V 6]]*10+Tabel2[[#This Row],[GT 6]])/Tabel2[[#This Row],[AW 6]]*10+Tabel2[[#This Row],[BONUS 6]]</f>
        <v>0</v>
      </c>
      <c r="AY111">
        <v>1</v>
      </c>
      <c r="BC111" s="23">
        <f>SUM(Tabel2[[#This Row],[V 7]]*10+Tabel2[[#This Row],[GT 7]])/Tabel2[[#This Row],[AW 7]]*10+Tabel2[[#This Row],[BONUS 7]]</f>
        <v>0</v>
      </c>
      <c r="BE111">
        <v>1</v>
      </c>
      <c r="BI111" s="23">
        <f>SUM(Tabel2[[#This Row],[V 8]]*10+Tabel2[[#This Row],[GT 8]])/Tabel2[[#This Row],[AW 8]]*10+Tabel2[[#This Row],[BONUS 8]]</f>
        <v>0</v>
      </c>
      <c r="BK111">
        <v>1</v>
      </c>
      <c r="BO111" s="23">
        <f>SUM(Tabel2[[#This Row],[V 9]]*10+Tabel2[[#This Row],[GT 9]])/Tabel2[[#This Row],[AW 9]]*10+Tabel2[[#This Row],[BONUS 9]]</f>
        <v>0</v>
      </c>
      <c r="BQ111">
        <v>1</v>
      </c>
      <c r="BU111" s="23">
        <f>SUM(Tabel2[[#This Row],[V 10]]*10+Tabel2[[#This Row],[GT 10]])/Tabel2[[#This Row],[AW 10]]*10+Tabel2[[#This Row],[BONUS 10]]</f>
        <v>0</v>
      </c>
      <c r="BV11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1" s="22">
        <v>500</v>
      </c>
      <c r="BX111" s="22">
        <f>Tabel2[[#This Row],[Diploma]]-Tabel2[[#This Row],[Uitgeschreven]]</f>
        <v>0</v>
      </c>
      <c r="BY111" s="155" t="str">
        <f t="shared" si="15"/>
        <v>geen actie</v>
      </c>
      <c r="CA111" s="150">
        <f>Tabel2[[#This Row],[pnt t/m 2021/22]]</f>
        <v>713.45238095238096</v>
      </c>
      <c r="CB111" s="150">
        <f>Tabel2[[#This Row],[pnt 2022/2023]]</f>
        <v>0</v>
      </c>
      <c r="CC111" s="150">
        <f t="shared" si="14"/>
        <v>713.45238095238096</v>
      </c>
      <c r="CD111" s="150">
        <f>IF(Tabel2[[#This Row],[LPR 1]]&gt;0,1,0)</f>
        <v>0</v>
      </c>
      <c r="CE111" s="150">
        <f>IF(Tabel2[[#This Row],[LPR 2]]&gt;0,1,0)</f>
        <v>0</v>
      </c>
      <c r="CF111" s="150">
        <f>IF(Tabel2[[#This Row],[LPR 3]]&gt;0,1,0)</f>
        <v>0</v>
      </c>
      <c r="CG111" s="150">
        <f>IF(Tabel2[[#This Row],[LPR 4]]&gt;0,1,0)</f>
        <v>0</v>
      </c>
      <c r="CH111" s="150">
        <f>IF(Tabel2[[#This Row],[LPR 5]]&gt;0,1,0)</f>
        <v>0</v>
      </c>
      <c r="CI111" s="150">
        <f>IF(Tabel2[[#This Row],[LPR 6]]&gt;0,1,0)</f>
        <v>0</v>
      </c>
      <c r="CJ111" s="150">
        <f>IF(Tabel2[[#This Row],[LPR 7]]&gt;0,1,0)</f>
        <v>0</v>
      </c>
      <c r="CK111" s="150">
        <f>IF(Tabel2[[#This Row],[LPR 8]]&gt;0,1,0)</f>
        <v>0</v>
      </c>
      <c r="CL111" s="150">
        <f>IF(Tabel2[[#This Row],[LPR 9]]&gt;0,1,0)</f>
        <v>0</v>
      </c>
      <c r="CM111" s="150">
        <f>IF(Tabel2[[#This Row],[LPR 10]]&gt;0,1,0)</f>
        <v>0</v>
      </c>
      <c r="CN111" s="150">
        <f>SUM(Tabel7[[#This Row],[sep]:[jun]])</f>
        <v>0</v>
      </c>
      <c r="CO111" s="22" t="str">
        <f t="shared" si="9"/>
        <v/>
      </c>
      <c r="CP111" s="22" t="str">
        <f t="shared" si="10"/>
        <v/>
      </c>
      <c r="CQ111" s="22" t="str">
        <f t="shared" si="11"/>
        <v/>
      </c>
      <c r="CR111" s="22" t="str">
        <f t="shared" si="12"/>
        <v/>
      </c>
      <c r="CS111" s="22" t="str">
        <f t="shared" si="13"/>
        <v/>
      </c>
    </row>
    <row r="112" spans="1:97" x14ac:dyDescent="0.3">
      <c r="A112" s="22" t="s">
        <v>173</v>
      </c>
      <c r="B112" s="22" t="s">
        <v>149</v>
      </c>
      <c r="D112" s="22" t="s">
        <v>163</v>
      </c>
      <c r="E112" t="s">
        <v>295</v>
      </c>
      <c r="F112" s="22">
        <v>120447</v>
      </c>
      <c r="G112" s="25" t="s">
        <v>203</v>
      </c>
      <c r="H112" s="23">
        <f>Tabel2[[#This Row],[pnt t/m 2021/22]]+Tabel2[[#This Row],[pnt 2022/2023]]</f>
        <v>10</v>
      </c>
      <c r="I112">
        <v>2010</v>
      </c>
      <c r="J112">
        <v>2022</v>
      </c>
      <c r="K112" s="24">
        <f>Tabel2[[#This Row],[ijkdatum]]-Tabel2[[#This Row],[Geboren]]</f>
        <v>12</v>
      </c>
      <c r="L112" s="26">
        <f>Tabel2[[#This Row],[TTL 1]]+Tabel2[[#This Row],[TTL 2]]+Tabel2[[#This Row],[TTL 3]]+Tabel2[[#This Row],[TTL 4]]+Tabel2[[#This Row],[TTL 5]]+Tabel2[[#This Row],[TTL 6]]+Tabel2[[#This Row],[TTL 7]]+Tabel2[[#This Row],[TTL 8]]+Tabel2[[#This Row],[TTL 9]]+Tabel2[[#This Row],[TTL 10]]</f>
        <v>0</v>
      </c>
      <c r="M112" s="153">
        <v>10</v>
      </c>
      <c r="O112">
        <v>1</v>
      </c>
      <c r="S112" s="153">
        <f>SUM(Tabel2[[#This Row],[V 1]]*10+Tabel2[[#This Row],[GT 1]])/Tabel2[[#This Row],[AW 1]]*10+Tabel2[[#This Row],[BONUS 1]]</f>
        <v>0</v>
      </c>
      <c r="U112">
        <v>1</v>
      </c>
      <c r="Y112" s="23">
        <f>SUM(Tabel2[[#This Row],[V 2]]*10+Tabel2[[#This Row],[GT 2]])/Tabel2[[#This Row],[AW 2]]*10+Tabel2[[#This Row],[BONUS 2]]</f>
        <v>0</v>
      </c>
      <c r="AA112">
        <v>1</v>
      </c>
      <c r="AE112" s="23">
        <f>SUM(Tabel2[[#This Row],[V 3]]*10+Tabel2[[#This Row],[GT 3]])/Tabel2[[#This Row],[AW 3]]*10+Tabel2[[#This Row],[BONUS 3]]</f>
        <v>0</v>
      </c>
      <c r="AG112">
        <v>1</v>
      </c>
      <c r="AK112" s="23">
        <f>SUM(Tabel2[[#This Row],[V 4]]*10+Tabel2[[#This Row],[GT 4]])/Tabel2[[#This Row],[AW 4]]*10+Tabel2[[#This Row],[BONUS 4]]</f>
        <v>0</v>
      </c>
      <c r="AM112">
        <v>1</v>
      </c>
      <c r="AQ112" s="23">
        <f>SUM(Tabel2[[#This Row],[V 5]]*10+Tabel2[[#This Row],[GT 5]])/Tabel2[[#This Row],[AW 5]]*10+Tabel2[[#This Row],[BONUS 5]]</f>
        <v>0</v>
      </c>
      <c r="AS112">
        <v>1</v>
      </c>
      <c r="AW112" s="23">
        <f>SUM(Tabel2[[#This Row],[V 6]]*10+Tabel2[[#This Row],[GT 6]])/Tabel2[[#This Row],[AW 6]]*10+Tabel2[[#This Row],[BONUS 6]]</f>
        <v>0</v>
      </c>
      <c r="AY112">
        <v>1</v>
      </c>
      <c r="BC112" s="23">
        <f>SUM(Tabel2[[#This Row],[V 7]]*10+Tabel2[[#This Row],[GT 7]])/Tabel2[[#This Row],[AW 7]]*10+Tabel2[[#This Row],[BONUS 7]]</f>
        <v>0</v>
      </c>
      <c r="BE112">
        <v>1</v>
      </c>
      <c r="BI112" s="23">
        <f>SUM(Tabel2[[#This Row],[V 8]]*10+Tabel2[[#This Row],[GT 8]])/Tabel2[[#This Row],[AW 8]]*10+Tabel2[[#This Row],[BONUS 8]]</f>
        <v>0</v>
      </c>
      <c r="BK112">
        <v>1</v>
      </c>
      <c r="BO112" s="23">
        <f>SUM(Tabel2[[#This Row],[V 9]]*10+Tabel2[[#This Row],[GT 9]])/Tabel2[[#This Row],[AW 9]]*10+Tabel2[[#This Row],[BONUS 9]]</f>
        <v>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2" s="22">
        <v>0</v>
      </c>
      <c r="BX112" s="22">
        <f>Tabel2[[#This Row],[Diploma]]-Tabel2[[#This Row],[Uitgeschreven]]</f>
        <v>0</v>
      </c>
      <c r="BY112" s="155" t="str">
        <f t="shared" si="15"/>
        <v>geen actie</v>
      </c>
      <c r="CA112" s="150">
        <f>Tabel2[[#This Row],[pnt t/m 2021/22]]</f>
        <v>10</v>
      </c>
      <c r="CB112" s="150">
        <f>Tabel2[[#This Row],[pnt 2022/2023]]</f>
        <v>0</v>
      </c>
      <c r="CC112" s="150">
        <f t="shared" si="14"/>
        <v>10</v>
      </c>
      <c r="CD112" s="150">
        <f>IF(Tabel2[[#This Row],[LPR 1]]&gt;0,1,0)</f>
        <v>0</v>
      </c>
      <c r="CE112" s="150">
        <f>IF(Tabel2[[#This Row],[LPR 2]]&gt;0,1,0)</f>
        <v>0</v>
      </c>
      <c r="CF112" s="150">
        <f>IF(Tabel2[[#This Row],[LPR 3]]&gt;0,1,0)</f>
        <v>0</v>
      </c>
      <c r="CG112" s="150">
        <f>IF(Tabel2[[#This Row],[LPR 4]]&gt;0,1,0)</f>
        <v>0</v>
      </c>
      <c r="CH112" s="150">
        <f>IF(Tabel2[[#This Row],[LPR 5]]&gt;0,1,0)</f>
        <v>0</v>
      </c>
      <c r="CI112" s="150">
        <f>IF(Tabel2[[#This Row],[LPR 6]]&gt;0,1,0)</f>
        <v>0</v>
      </c>
      <c r="CJ112" s="150">
        <f>IF(Tabel2[[#This Row],[LPR 7]]&gt;0,1,0)</f>
        <v>0</v>
      </c>
      <c r="CK112" s="150">
        <f>IF(Tabel2[[#This Row],[LPR 8]]&gt;0,1,0)</f>
        <v>0</v>
      </c>
      <c r="CL112" s="150">
        <f>IF(Tabel2[[#This Row],[LPR 9]]&gt;0,1,0)</f>
        <v>0</v>
      </c>
      <c r="CM112" s="150">
        <f>IF(Tabel2[[#This Row],[LPR 10]]&gt;0,1,0)</f>
        <v>0</v>
      </c>
      <c r="CN112" s="150">
        <f>SUM(Tabel7[[#This Row],[sep]:[jun]])</f>
        <v>0</v>
      </c>
      <c r="CO112" s="22" t="str">
        <f t="shared" si="9"/>
        <v/>
      </c>
      <c r="CP112" s="22" t="str">
        <f t="shared" si="10"/>
        <v/>
      </c>
      <c r="CQ112" s="22" t="str">
        <f t="shared" si="11"/>
        <v/>
      </c>
      <c r="CR112" s="22" t="str">
        <f t="shared" si="12"/>
        <v/>
      </c>
      <c r="CS112" s="22" t="str">
        <f t="shared" si="13"/>
        <v/>
      </c>
    </row>
    <row r="113" spans="1:97" x14ac:dyDescent="0.3">
      <c r="A113" s="22" t="s">
        <v>156</v>
      </c>
      <c r="B113" s="22" t="s">
        <v>157</v>
      </c>
      <c r="D113" s="22" t="s">
        <v>163</v>
      </c>
      <c r="E113" t="s">
        <v>296</v>
      </c>
      <c r="F113" s="22">
        <v>120161</v>
      </c>
      <c r="G113" s="25" t="s">
        <v>201</v>
      </c>
      <c r="H113" s="23">
        <f>Tabel2[[#This Row],[pnt t/m 2021/22]]+Tabel2[[#This Row],[pnt 2022/2023]]</f>
        <v>89.375</v>
      </c>
      <c r="I113">
        <v>2007</v>
      </c>
      <c r="J113">
        <v>2022</v>
      </c>
      <c r="K113" s="24">
        <f>Tabel2[[#This Row],[ijkdatum]]-Tabel2[[#This Row],[Geboren]]</f>
        <v>15</v>
      </c>
      <c r="L113" s="26">
        <f>Tabel2[[#This Row],[TTL 1]]+Tabel2[[#This Row],[TTL 2]]+Tabel2[[#This Row],[TTL 3]]+Tabel2[[#This Row],[TTL 4]]+Tabel2[[#This Row],[TTL 5]]+Tabel2[[#This Row],[TTL 6]]+Tabel2[[#This Row],[TTL 7]]+Tabel2[[#This Row],[TTL 8]]+Tabel2[[#This Row],[TTL 9]]+Tabel2[[#This Row],[TTL 10]]</f>
        <v>0</v>
      </c>
      <c r="M113" s="153">
        <v>89.375</v>
      </c>
      <c r="O113">
        <v>1</v>
      </c>
      <c r="S113" s="153">
        <f>SUM(Tabel2[[#This Row],[V 1]]*10+Tabel2[[#This Row],[GT 1]])/Tabel2[[#This Row],[AW 1]]*10+Tabel2[[#This Row],[BONUS 1]]</f>
        <v>0</v>
      </c>
      <c r="U113">
        <v>1</v>
      </c>
      <c r="Y113" s="153">
        <f>SUM(Tabel2[[#This Row],[V 2]]*10+Tabel2[[#This Row],[GT 2]])/Tabel2[[#This Row],[AW 2]]*10+Tabel2[[#This Row],[BONUS 2]]</f>
        <v>0</v>
      </c>
      <c r="AA113">
        <v>1</v>
      </c>
      <c r="AE113" s="153">
        <f>SUM(Tabel2[[#This Row],[V 3]]*10+Tabel2[[#This Row],[GT 3]])/Tabel2[[#This Row],[AW 3]]*10+Tabel2[[#This Row],[BONUS 3]]</f>
        <v>0</v>
      </c>
      <c r="AG113">
        <v>1</v>
      </c>
      <c r="AK113" s="153">
        <f>SUM(Tabel2[[#This Row],[V 4]]*10+Tabel2[[#This Row],[GT 4]])/Tabel2[[#This Row],[AW 4]]*10+Tabel2[[#This Row],[BONUS 4]]</f>
        <v>0</v>
      </c>
      <c r="AM113">
        <v>1</v>
      </c>
      <c r="AQ113" s="153">
        <f>SUM(Tabel2[[#This Row],[V 5]]*10+Tabel2[[#This Row],[GT 5]])/Tabel2[[#This Row],[AW 5]]*10+Tabel2[[#This Row],[BONUS 5]]</f>
        <v>0</v>
      </c>
      <c r="AS113">
        <v>1</v>
      </c>
      <c r="AW113" s="153">
        <f>SUM(Tabel2[[#This Row],[V 6]]*10+Tabel2[[#This Row],[GT 6]])/Tabel2[[#This Row],[AW 6]]*10+Tabel2[[#This Row],[BONUS 6]]</f>
        <v>0</v>
      </c>
      <c r="AY113">
        <v>1</v>
      </c>
      <c r="BC113" s="153">
        <f>SUM(Tabel2[[#This Row],[V 7]]*10+Tabel2[[#This Row],[GT 7]])/Tabel2[[#This Row],[AW 7]]*10+Tabel2[[#This Row],[BONUS 7]]</f>
        <v>0</v>
      </c>
      <c r="BE113">
        <v>1</v>
      </c>
      <c r="BI113" s="153">
        <f>SUM(Tabel2[[#This Row],[V 8]]*10+Tabel2[[#This Row],[GT 8]])/Tabel2[[#This Row],[AW 8]]*10+Tabel2[[#This Row],[BONUS 8]]</f>
        <v>0</v>
      </c>
      <c r="BK113">
        <v>1</v>
      </c>
      <c r="BO113" s="153">
        <f>SUM(Tabel2[[#This Row],[V 9]]*10+Tabel2[[#This Row],[GT 9]])/Tabel2[[#This Row],[AW 9]]*10+Tabel2[[#This Row],[BONUS 9]]</f>
        <v>0</v>
      </c>
      <c r="BQ113">
        <v>1</v>
      </c>
      <c r="BU113" s="23">
        <f>SUM(Tabel2[[#This Row],[V 10]]*10+Tabel2[[#This Row],[GT 10]])/Tabel2[[#This Row],[AW 10]]*10+Tabel2[[#This Row],[BONUS 10]]</f>
        <v>0</v>
      </c>
      <c r="BV1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3" s="22">
        <v>0</v>
      </c>
      <c r="BX113" s="22">
        <f>Tabel2[[#This Row],[Diploma]]-Tabel2[[#This Row],[Uitgeschreven]]</f>
        <v>0</v>
      </c>
      <c r="BY113" s="155" t="str">
        <f t="shared" si="15"/>
        <v>geen actie</v>
      </c>
      <c r="CA113" s="150">
        <f>Tabel2[[#This Row],[pnt t/m 2021/22]]</f>
        <v>89.375</v>
      </c>
      <c r="CB113" s="150">
        <f>Tabel2[[#This Row],[pnt 2022/2023]]</f>
        <v>0</v>
      </c>
      <c r="CC113" s="150">
        <f t="shared" si="14"/>
        <v>89.375</v>
      </c>
      <c r="CD113" s="150">
        <f>IF(Tabel2[[#This Row],[LPR 1]]&gt;0,1,0)</f>
        <v>0</v>
      </c>
      <c r="CE113" s="150">
        <f>IF(Tabel2[[#This Row],[LPR 2]]&gt;0,1,0)</f>
        <v>0</v>
      </c>
      <c r="CF113" s="150">
        <f>IF(Tabel2[[#This Row],[LPR 3]]&gt;0,1,0)</f>
        <v>0</v>
      </c>
      <c r="CG113" s="150">
        <f>IF(Tabel2[[#This Row],[LPR 4]]&gt;0,1,0)</f>
        <v>0</v>
      </c>
      <c r="CH113" s="150">
        <f>IF(Tabel2[[#This Row],[LPR 5]]&gt;0,1,0)</f>
        <v>0</v>
      </c>
      <c r="CI113" s="150">
        <f>IF(Tabel2[[#This Row],[LPR 6]]&gt;0,1,0)</f>
        <v>0</v>
      </c>
      <c r="CJ113" s="150">
        <f>IF(Tabel2[[#This Row],[LPR 7]]&gt;0,1,0)</f>
        <v>0</v>
      </c>
      <c r="CK113" s="150">
        <f>IF(Tabel2[[#This Row],[LPR 8]]&gt;0,1,0)</f>
        <v>0</v>
      </c>
      <c r="CL113" s="150">
        <f>IF(Tabel2[[#This Row],[LPR 9]]&gt;0,1,0)</f>
        <v>0</v>
      </c>
      <c r="CM113" s="150">
        <f>IF(Tabel2[[#This Row],[LPR 10]]&gt;0,1,0)</f>
        <v>0</v>
      </c>
      <c r="CN113" s="150">
        <f>SUM(Tabel7[[#This Row],[sep]:[jun]])</f>
        <v>0</v>
      </c>
      <c r="CO113" s="22" t="str">
        <f t="shared" si="9"/>
        <v/>
      </c>
      <c r="CP113" s="22" t="str">
        <f t="shared" si="10"/>
        <v/>
      </c>
      <c r="CQ113" s="22" t="str">
        <f t="shared" si="11"/>
        <v/>
      </c>
      <c r="CR113" s="22" t="str">
        <f t="shared" si="12"/>
        <v/>
      </c>
      <c r="CS113" s="22" t="str">
        <f t="shared" si="13"/>
        <v/>
      </c>
    </row>
    <row r="114" spans="1:97" x14ac:dyDescent="0.3">
      <c r="A114" s="22" t="s">
        <v>156</v>
      </c>
      <c r="B114" s="22" t="s">
        <v>149</v>
      </c>
      <c r="D114" s="22" t="s">
        <v>163</v>
      </c>
      <c r="E114" t="s">
        <v>297</v>
      </c>
      <c r="F114" s="22">
        <v>117096</v>
      </c>
      <c r="G114" s="25" t="s">
        <v>162</v>
      </c>
      <c r="H114" s="142">
        <f>Tabel2[[#This Row],[pnt t/m 2021/22]]+Tabel2[[#This Row],[pnt 2022/2023]]</f>
        <v>3043.7110389610389</v>
      </c>
      <c r="I114">
        <v>2007</v>
      </c>
      <c r="J114">
        <v>2022</v>
      </c>
      <c r="K114" s="24">
        <f>Tabel2[[#This Row],[ijkdatum]]-Tabel2[[#This Row],[Geboren]]</f>
        <v>15</v>
      </c>
      <c r="L114" s="26">
        <f>Tabel2[[#This Row],[TTL 1]]+Tabel2[[#This Row],[TTL 2]]+Tabel2[[#This Row],[TTL 3]]+Tabel2[[#This Row],[TTL 4]]+Tabel2[[#This Row],[TTL 5]]+Tabel2[[#This Row],[TTL 6]]+Tabel2[[#This Row],[TTL 7]]+Tabel2[[#This Row],[TTL 8]]+Tabel2[[#This Row],[TTL 9]]+Tabel2[[#This Row],[TTL 10]]</f>
        <v>0</v>
      </c>
      <c r="M114" s="141">
        <v>3043.7110389610389</v>
      </c>
      <c r="O114">
        <v>1</v>
      </c>
      <c r="S114" s="23">
        <f>SUM(Tabel2[[#This Row],[V 1]]*10+Tabel2[[#This Row],[GT 1]])/Tabel2[[#This Row],[AW 1]]*10+Tabel2[[#This Row],[BONUS 1]]</f>
        <v>0</v>
      </c>
      <c r="U114">
        <v>1</v>
      </c>
      <c r="Y114" s="23">
        <f>SUM(Tabel2[[#This Row],[V 2]]*10+Tabel2[[#This Row],[GT 2]])/Tabel2[[#This Row],[AW 2]]*10+Tabel2[[#This Row],[BONUS 2]]</f>
        <v>0</v>
      </c>
      <c r="AA114">
        <v>1</v>
      </c>
      <c r="AE114" s="23">
        <f>SUM(Tabel2[[#This Row],[V 3]]*10+Tabel2[[#This Row],[GT 3]])/Tabel2[[#This Row],[AW 3]]*10+Tabel2[[#This Row],[BONUS 3]]</f>
        <v>0</v>
      </c>
      <c r="AG114">
        <v>1</v>
      </c>
      <c r="AK114" s="23">
        <f>SUM(Tabel2[[#This Row],[V 4]]*10+Tabel2[[#This Row],[GT 4]])/Tabel2[[#This Row],[AW 4]]*10+Tabel2[[#This Row],[BONUS 4]]</f>
        <v>0</v>
      </c>
      <c r="AM114">
        <v>1</v>
      </c>
      <c r="AQ114" s="23">
        <f>SUM(Tabel2[[#This Row],[V 5]]*10+Tabel2[[#This Row],[GT 5]])/Tabel2[[#This Row],[AW 5]]*10+Tabel2[[#This Row],[BONUS 5]]</f>
        <v>0</v>
      </c>
      <c r="AS114">
        <v>1</v>
      </c>
      <c r="AW114" s="23">
        <f>SUM(Tabel2[[#This Row],[V 6]]*10+Tabel2[[#This Row],[GT 6]])/Tabel2[[#This Row],[AW 6]]*10+Tabel2[[#This Row],[BONUS 6]]</f>
        <v>0</v>
      </c>
      <c r="AY114">
        <v>1</v>
      </c>
      <c r="BC114" s="23">
        <f>SUM(Tabel2[[#This Row],[V 7]]*10+Tabel2[[#This Row],[GT 7]])/Tabel2[[#This Row],[AW 7]]*10+Tabel2[[#This Row],[BONUS 7]]</f>
        <v>0</v>
      </c>
      <c r="BE114">
        <v>1</v>
      </c>
      <c r="BI114" s="23">
        <f>SUM(Tabel2[[#This Row],[V 8]]*10+Tabel2[[#This Row],[GT 8]])/Tabel2[[#This Row],[AW 8]]*10+Tabel2[[#This Row],[BONUS 8]]</f>
        <v>0</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14" s="22">
        <v>3000</v>
      </c>
      <c r="BX114" s="30">
        <f>Tabel2[[#This Row],[Diploma]]-Tabel2[[#This Row],[Uitgeschreven]]</f>
        <v>0</v>
      </c>
      <c r="BY114" s="2" t="str">
        <f t="shared" si="15"/>
        <v>geen actie</v>
      </c>
      <c r="CA114" s="150">
        <f>Tabel2[[#This Row],[pnt t/m 2021/22]]</f>
        <v>3043.7110389610389</v>
      </c>
      <c r="CB114" s="150">
        <f>Tabel2[[#This Row],[pnt 2022/2023]]</f>
        <v>0</v>
      </c>
      <c r="CC114" s="150">
        <f t="shared" si="14"/>
        <v>3043.7110389610389</v>
      </c>
      <c r="CD114" s="150">
        <f>IF(Tabel2[[#This Row],[LPR 1]]&gt;0,1,0)</f>
        <v>0</v>
      </c>
      <c r="CE114" s="150">
        <f>IF(Tabel2[[#This Row],[LPR 2]]&gt;0,1,0)</f>
        <v>0</v>
      </c>
      <c r="CF114" s="150">
        <f>IF(Tabel2[[#This Row],[LPR 3]]&gt;0,1,0)</f>
        <v>0</v>
      </c>
      <c r="CG114" s="150">
        <f>IF(Tabel2[[#This Row],[LPR 4]]&gt;0,1,0)</f>
        <v>0</v>
      </c>
      <c r="CH114" s="150">
        <f>IF(Tabel2[[#This Row],[LPR 5]]&gt;0,1,0)</f>
        <v>0</v>
      </c>
      <c r="CI114" s="150">
        <f>IF(Tabel2[[#This Row],[LPR 6]]&gt;0,1,0)</f>
        <v>0</v>
      </c>
      <c r="CJ114" s="150">
        <f>IF(Tabel2[[#This Row],[LPR 7]]&gt;0,1,0)</f>
        <v>0</v>
      </c>
      <c r="CK114" s="150">
        <f>IF(Tabel2[[#This Row],[LPR 8]]&gt;0,1,0)</f>
        <v>0</v>
      </c>
      <c r="CL114" s="150">
        <f>IF(Tabel2[[#This Row],[LPR 9]]&gt;0,1,0)</f>
        <v>0</v>
      </c>
      <c r="CM114" s="150">
        <f>IF(Tabel2[[#This Row],[LPR 10]]&gt;0,1,0)</f>
        <v>0</v>
      </c>
      <c r="CN114" s="150">
        <f>SUM(Tabel7[[#This Row],[sep]:[jun]])</f>
        <v>0</v>
      </c>
      <c r="CO114" s="22" t="str">
        <f t="shared" si="9"/>
        <v/>
      </c>
      <c r="CP114" s="22" t="str">
        <f t="shared" si="10"/>
        <v/>
      </c>
      <c r="CQ114" s="22" t="str">
        <f t="shared" si="11"/>
        <v/>
      </c>
      <c r="CR114" s="22" t="str">
        <f t="shared" si="12"/>
        <v/>
      </c>
      <c r="CS114" s="22" t="str">
        <f t="shared" si="13"/>
        <v/>
      </c>
    </row>
    <row r="115" spans="1:97" x14ac:dyDescent="0.3">
      <c r="A115" s="22" t="s">
        <v>190</v>
      </c>
      <c r="B115" s="22" t="s">
        <v>149</v>
      </c>
      <c r="D115" s="22" t="s">
        <v>163</v>
      </c>
      <c r="E115" t="s">
        <v>298</v>
      </c>
      <c r="F115" s="22">
        <v>120467</v>
      </c>
      <c r="G115" s="25" t="s">
        <v>167</v>
      </c>
      <c r="H115" s="23">
        <f>Tabel2[[#This Row],[pnt t/m 2021/22]]+Tabel2[[#This Row],[pnt 2022/2023]]</f>
        <v>36.25</v>
      </c>
      <c r="I115">
        <v>2013</v>
      </c>
      <c r="J115">
        <v>2022</v>
      </c>
      <c r="K115" s="24">
        <f>Tabel2[[#This Row],[ijkdatum]]-Tabel2[[#This Row],[Geboren]]</f>
        <v>9</v>
      </c>
      <c r="L115" s="26">
        <f>Tabel2[[#This Row],[TTL 1]]+Tabel2[[#This Row],[TTL 2]]+Tabel2[[#This Row],[TTL 3]]+Tabel2[[#This Row],[TTL 4]]+Tabel2[[#This Row],[TTL 5]]+Tabel2[[#This Row],[TTL 6]]+Tabel2[[#This Row],[TTL 7]]+Tabel2[[#This Row],[TTL 8]]+Tabel2[[#This Row],[TTL 9]]+Tabel2[[#This Row],[TTL 10]]</f>
        <v>0</v>
      </c>
      <c r="M115" s="153">
        <v>36.25</v>
      </c>
      <c r="O115">
        <v>1</v>
      </c>
      <c r="S115" s="153">
        <f>SUM(Tabel2[[#This Row],[V 1]]*10+Tabel2[[#This Row],[GT 1]])/Tabel2[[#This Row],[AW 1]]*10+Tabel2[[#This Row],[BONUS 1]]</f>
        <v>0</v>
      </c>
      <c r="U115">
        <v>1</v>
      </c>
      <c r="Y115" s="23">
        <f>SUM(Tabel2[[#This Row],[V 2]]*10+Tabel2[[#This Row],[GT 2]])/Tabel2[[#This Row],[AW 2]]*10+Tabel2[[#This Row],[BONUS 2]]</f>
        <v>0</v>
      </c>
      <c r="AA115">
        <v>1</v>
      </c>
      <c r="AE115" s="23">
        <f>SUM(Tabel2[[#This Row],[V 3]]*10+Tabel2[[#This Row],[GT 3]])/Tabel2[[#This Row],[AW 3]]*10+Tabel2[[#This Row],[BONUS 3]]</f>
        <v>0</v>
      </c>
      <c r="AG115">
        <v>1</v>
      </c>
      <c r="AK115" s="23">
        <f>SUM(Tabel2[[#This Row],[V 4]]*10+Tabel2[[#This Row],[GT 4]])/Tabel2[[#This Row],[AW 4]]*10+Tabel2[[#This Row],[BONUS 4]]</f>
        <v>0</v>
      </c>
      <c r="AM115">
        <v>1</v>
      </c>
      <c r="AQ115" s="23">
        <f>SUM(Tabel2[[#This Row],[V 5]]*10+Tabel2[[#This Row],[GT 5]])/Tabel2[[#This Row],[AW 5]]*10+Tabel2[[#This Row],[BONUS 5]]</f>
        <v>0</v>
      </c>
      <c r="AS115">
        <v>1</v>
      </c>
      <c r="AW115" s="23">
        <f>SUM(Tabel2[[#This Row],[V 6]]*10+Tabel2[[#This Row],[GT 6]])/Tabel2[[#This Row],[AW 6]]*10+Tabel2[[#This Row],[BONUS 6]]</f>
        <v>0</v>
      </c>
      <c r="AY115">
        <v>1</v>
      </c>
      <c r="BC115" s="23">
        <f>SUM(Tabel2[[#This Row],[V 7]]*10+Tabel2[[#This Row],[GT 7]])/Tabel2[[#This Row],[AW 7]]*10+Tabel2[[#This Row],[BONUS 7]]</f>
        <v>0</v>
      </c>
      <c r="BE115">
        <v>1</v>
      </c>
      <c r="BI115" s="23">
        <f>SUM(Tabel2[[#This Row],[V 8]]*10+Tabel2[[#This Row],[GT 8]])/Tabel2[[#This Row],[AW 8]]*10+Tabel2[[#This Row],[BONUS 8]]</f>
        <v>0</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5" s="22">
        <v>0</v>
      </c>
      <c r="BX115" s="22">
        <f>Tabel2[[#This Row],[Diploma]]-Tabel2[[#This Row],[Uitgeschreven]]</f>
        <v>0</v>
      </c>
      <c r="BY115" s="155" t="str">
        <f t="shared" si="15"/>
        <v>geen actie</v>
      </c>
      <c r="CA115" s="150">
        <f>Tabel2[[#This Row],[pnt t/m 2021/22]]</f>
        <v>36.25</v>
      </c>
      <c r="CB115" s="150">
        <f>Tabel2[[#This Row],[pnt 2022/2023]]</f>
        <v>0</v>
      </c>
      <c r="CC115" s="150">
        <f t="shared" si="14"/>
        <v>36.25</v>
      </c>
      <c r="CD115" s="150">
        <f>IF(Tabel2[[#This Row],[LPR 1]]&gt;0,1,0)</f>
        <v>0</v>
      </c>
      <c r="CE115" s="150">
        <f>IF(Tabel2[[#This Row],[LPR 2]]&gt;0,1,0)</f>
        <v>0</v>
      </c>
      <c r="CF115" s="150">
        <f>IF(Tabel2[[#This Row],[LPR 3]]&gt;0,1,0)</f>
        <v>0</v>
      </c>
      <c r="CG115" s="150">
        <f>IF(Tabel2[[#This Row],[LPR 4]]&gt;0,1,0)</f>
        <v>0</v>
      </c>
      <c r="CH115" s="150">
        <f>IF(Tabel2[[#This Row],[LPR 5]]&gt;0,1,0)</f>
        <v>0</v>
      </c>
      <c r="CI115" s="150">
        <f>IF(Tabel2[[#This Row],[LPR 6]]&gt;0,1,0)</f>
        <v>0</v>
      </c>
      <c r="CJ115" s="150">
        <f>IF(Tabel2[[#This Row],[LPR 7]]&gt;0,1,0)</f>
        <v>0</v>
      </c>
      <c r="CK115" s="150">
        <f>IF(Tabel2[[#This Row],[LPR 8]]&gt;0,1,0)</f>
        <v>0</v>
      </c>
      <c r="CL115" s="150">
        <f>IF(Tabel2[[#This Row],[LPR 9]]&gt;0,1,0)</f>
        <v>0</v>
      </c>
      <c r="CM115" s="150">
        <f>IF(Tabel2[[#This Row],[LPR 10]]&gt;0,1,0)</f>
        <v>0</v>
      </c>
      <c r="CN115" s="150">
        <f>SUM(Tabel7[[#This Row],[sep]:[jun]])</f>
        <v>0</v>
      </c>
      <c r="CO115" s="22" t="str">
        <f t="shared" si="9"/>
        <v/>
      </c>
      <c r="CP115" s="22" t="str">
        <f t="shared" si="10"/>
        <v/>
      </c>
      <c r="CQ115" s="22" t="str">
        <f t="shared" si="11"/>
        <v/>
      </c>
      <c r="CR115" s="22" t="str">
        <f t="shared" si="12"/>
        <v/>
      </c>
      <c r="CS115" s="22" t="str">
        <f t="shared" si="13"/>
        <v/>
      </c>
    </row>
    <row r="116" spans="1:97" x14ac:dyDescent="0.3">
      <c r="A116" s="22" t="s">
        <v>190</v>
      </c>
      <c r="B116" s="22" t="s">
        <v>149</v>
      </c>
      <c r="D116" s="22" t="s">
        <v>163</v>
      </c>
      <c r="E116" t="s">
        <v>299</v>
      </c>
      <c r="F116" s="22">
        <v>119941</v>
      </c>
      <c r="G116" s="25" t="s">
        <v>192</v>
      </c>
      <c r="H116" s="23">
        <f>Tabel2[[#This Row],[pnt t/m 2021/22]]+Tabel2[[#This Row],[pnt 2022/2023]]</f>
        <v>150</v>
      </c>
      <c r="I116">
        <v>2012</v>
      </c>
      <c r="J116">
        <v>2022</v>
      </c>
      <c r="K116" s="24">
        <f>Tabel2[[#This Row],[ijkdatum]]-Tabel2[[#This Row],[Geboren]]</f>
        <v>10</v>
      </c>
      <c r="L116" s="26">
        <f>Tabel2[[#This Row],[TTL 1]]+Tabel2[[#This Row],[TTL 2]]+Tabel2[[#This Row],[TTL 3]]+Tabel2[[#This Row],[TTL 4]]+Tabel2[[#This Row],[TTL 5]]+Tabel2[[#This Row],[TTL 6]]+Tabel2[[#This Row],[TTL 7]]+Tabel2[[#This Row],[TTL 8]]+Tabel2[[#This Row],[TTL 9]]+Tabel2[[#This Row],[TTL 10]]</f>
        <v>0</v>
      </c>
      <c r="M116" s="153">
        <v>150</v>
      </c>
      <c r="O116">
        <v>1</v>
      </c>
      <c r="S116" s="153">
        <f>SUM(Tabel2[[#This Row],[V 1]]*10+Tabel2[[#This Row],[GT 1]])/Tabel2[[#This Row],[AW 1]]*10+Tabel2[[#This Row],[BONUS 1]]</f>
        <v>0</v>
      </c>
      <c r="U116">
        <v>1</v>
      </c>
      <c r="Y116" s="153">
        <f>SUM(Tabel2[[#This Row],[V 2]]*10+Tabel2[[#This Row],[GT 2]])/Tabel2[[#This Row],[AW 2]]*10+Tabel2[[#This Row],[BONUS 2]]</f>
        <v>0</v>
      </c>
      <c r="AA116">
        <v>1</v>
      </c>
      <c r="AE116" s="153">
        <f>SUM(Tabel2[[#This Row],[V 3]]*10+Tabel2[[#This Row],[GT 3]])/Tabel2[[#This Row],[AW 3]]*10+Tabel2[[#This Row],[BONUS 3]]</f>
        <v>0</v>
      </c>
      <c r="AG116">
        <v>1</v>
      </c>
      <c r="AK116" s="153">
        <f>SUM(Tabel2[[#This Row],[V 4]]*10+Tabel2[[#This Row],[GT 4]])/Tabel2[[#This Row],[AW 4]]*10+Tabel2[[#This Row],[BONUS 4]]</f>
        <v>0</v>
      </c>
      <c r="AM116">
        <v>1</v>
      </c>
      <c r="AQ116" s="153">
        <f>SUM(Tabel2[[#This Row],[V 5]]*10+Tabel2[[#This Row],[GT 5]])/Tabel2[[#This Row],[AW 5]]*10+Tabel2[[#This Row],[BONUS 5]]</f>
        <v>0</v>
      </c>
      <c r="AS116">
        <v>1</v>
      </c>
      <c r="AW116" s="153">
        <f>SUM(Tabel2[[#This Row],[V 6]]*10+Tabel2[[#This Row],[GT 6]])/Tabel2[[#This Row],[AW 6]]*10+Tabel2[[#This Row],[BONUS 6]]</f>
        <v>0</v>
      </c>
      <c r="AY116">
        <v>1</v>
      </c>
      <c r="BC116" s="153">
        <f>SUM(Tabel2[[#This Row],[V 7]]*10+Tabel2[[#This Row],[GT 7]])/Tabel2[[#This Row],[AW 7]]*10+Tabel2[[#This Row],[BONUS 7]]</f>
        <v>0</v>
      </c>
      <c r="BE116">
        <v>1</v>
      </c>
      <c r="BI116" s="153">
        <f>SUM(Tabel2[[#This Row],[V 8]]*10+Tabel2[[#This Row],[GT 8]])/Tabel2[[#This Row],[AW 8]]*10+Tabel2[[#This Row],[BONUS 8]]</f>
        <v>0</v>
      </c>
      <c r="BK116">
        <v>1</v>
      </c>
      <c r="BO116" s="153">
        <f>SUM(Tabel2[[#This Row],[V 9]]*10+Tabel2[[#This Row],[GT 9]])/Tabel2[[#This Row],[AW 9]]*10+Tabel2[[#This Row],[BONUS 9]]</f>
        <v>0</v>
      </c>
      <c r="BQ116">
        <v>1</v>
      </c>
      <c r="BU116" s="23">
        <f>SUM(Tabel2[[#This Row],[V 10]]*10+Tabel2[[#This Row],[GT 10]])/Tabel2[[#This Row],[AW 10]]*10+Tabel2[[#This Row],[BONUS 10]]</f>
        <v>0</v>
      </c>
      <c r="BV1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6" s="22">
        <v>0</v>
      </c>
      <c r="BX116" s="22">
        <f>Tabel2[[#This Row],[Diploma]]-Tabel2[[#This Row],[Uitgeschreven]]</f>
        <v>0</v>
      </c>
      <c r="BY116" s="155" t="str">
        <f t="shared" si="15"/>
        <v>geen actie</v>
      </c>
      <c r="CA116" s="150">
        <f>Tabel2[[#This Row],[pnt t/m 2021/22]]</f>
        <v>150</v>
      </c>
      <c r="CB116" s="150">
        <f>Tabel2[[#This Row],[pnt 2022/2023]]</f>
        <v>0</v>
      </c>
      <c r="CC116" s="150">
        <f t="shared" si="14"/>
        <v>150</v>
      </c>
      <c r="CD116" s="150">
        <f>IF(Tabel2[[#This Row],[LPR 1]]&gt;0,1,0)</f>
        <v>0</v>
      </c>
      <c r="CE116" s="150">
        <f>IF(Tabel2[[#This Row],[LPR 2]]&gt;0,1,0)</f>
        <v>0</v>
      </c>
      <c r="CF116" s="150">
        <f>IF(Tabel2[[#This Row],[LPR 3]]&gt;0,1,0)</f>
        <v>0</v>
      </c>
      <c r="CG116" s="150">
        <f>IF(Tabel2[[#This Row],[LPR 4]]&gt;0,1,0)</f>
        <v>0</v>
      </c>
      <c r="CH116" s="150">
        <f>IF(Tabel2[[#This Row],[LPR 5]]&gt;0,1,0)</f>
        <v>0</v>
      </c>
      <c r="CI116" s="150">
        <f>IF(Tabel2[[#This Row],[LPR 6]]&gt;0,1,0)</f>
        <v>0</v>
      </c>
      <c r="CJ116" s="150">
        <f>IF(Tabel2[[#This Row],[LPR 7]]&gt;0,1,0)</f>
        <v>0</v>
      </c>
      <c r="CK116" s="150">
        <f>IF(Tabel2[[#This Row],[LPR 8]]&gt;0,1,0)</f>
        <v>0</v>
      </c>
      <c r="CL116" s="150">
        <f>IF(Tabel2[[#This Row],[LPR 9]]&gt;0,1,0)</f>
        <v>0</v>
      </c>
      <c r="CM116" s="150">
        <f>IF(Tabel2[[#This Row],[LPR 10]]&gt;0,1,0)</f>
        <v>0</v>
      </c>
      <c r="CN116" s="150">
        <f>SUM(Tabel7[[#This Row],[sep]:[jun]])</f>
        <v>0</v>
      </c>
      <c r="CO116" s="22" t="str">
        <f t="shared" si="9"/>
        <v/>
      </c>
      <c r="CP116" s="22" t="str">
        <f t="shared" si="10"/>
        <v/>
      </c>
      <c r="CQ116" s="22" t="str">
        <f t="shared" si="11"/>
        <v/>
      </c>
      <c r="CR116" s="22" t="str">
        <f t="shared" si="12"/>
        <v/>
      </c>
      <c r="CS116" s="22" t="str">
        <f t="shared" si="13"/>
        <v/>
      </c>
    </row>
    <row r="117" spans="1:97" x14ac:dyDescent="0.3">
      <c r="A117" s="22" t="s">
        <v>173</v>
      </c>
      <c r="B117" s="22" t="s">
        <v>149</v>
      </c>
      <c r="D117" s="22" t="s">
        <v>163</v>
      </c>
      <c r="E117" t="s">
        <v>300</v>
      </c>
      <c r="F117" s="22">
        <v>120084</v>
      </c>
      <c r="G117" s="25" t="s">
        <v>165</v>
      </c>
      <c r="H117" s="23">
        <f>Tabel2[[#This Row],[pnt t/m 2021/22]]+Tabel2[[#This Row],[pnt 2022/2023]]</f>
        <v>118.57142857142857</v>
      </c>
      <c r="I117">
        <v>2014</v>
      </c>
      <c r="J117">
        <v>2022</v>
      </c>
      <c r="K117" s="24">
        <f>Tabel2[[#This Row],[ijkdatum]]-Tabel2[[#This Row],[Geboren]]</f>
        <v>8</v>
      </c>
      <c r="L117" s="26">
        <f>Tabel2[[#This Row],[TTL 1]]+Tabel2[[#This Row],[TTL 2]]+Tabel2[[#This Row],[TTL 3]]+Tabel2[[#This Row],[TTL 4]]+Tabel2[[#This Row],[TTL 5]]+Tabel2[[#This Row],[TTL 6]]+Tabel2[[#This Row],[TTL 7]]+Tabel2[[#This Row],[TTL 8]]+Tabel2[[#This Row],[TTL 9]]+Tabel2[[#This Row],[TTL 10]]</f>
        <v>0</v>
      </c>
      <c r="M117" s="153">
        <v>118.57142857142857</v>
      </c>
      <c r="O117">
        <v>1</v>
      </c>
      <c r="S117" s="153">
        <f>SUM(Tabel2[[#This Row],[V 1]]*10+Tabel2[[#This Row],[GT 1]])/Tabel2[[#This Row],[AW 1]]*10+Tabel2[[#This Row],[BONUS 1]]</f>
        <v>0</v>
      </c>
      <c r="U117">
        <v>1</v>
      </c>
      <c r="Y117" s="153">
        <f>SUM(Tabel2[[#This Row],[V 2]]*10+Tabel2[[#This Row],[GT 2]])/Tabel2[[#This Row],[AW 2]]*10+Tabel2[[#This Row],[BONUS 2]]</f>
        <v>0</v>
      </c>
      <c r="AA117">
        <v>1</v>
      </c>
      <c r="AE117" s="153">
        <f>SUM(Tabel2[[#This Row],[V 3]]*10+Tabel2[[#This Row],[GT 3]])/Tabel2[[#This Row],[AW 3]]*10+Tabel2[[#This Row],[BONUS 3]]</f>
        <v>0</v>
      </c>
      <c r="AG117">
        <v>1</v>
      </c>
      <c r="AK117" s="153">
        <f>SUM(Tabel2[[#This Row],[V 4]]*10+Tabel2[[#This Row],[GT 4]])/Tabel2[[#This Row],[AW 4]]*10+Tabel2[[#This Row],[BONUS 4]]</f>
        <v>0</v>
      </c>
      <c r="AM117">
        <v>1</v>
      </c>
      <c r="AQ117" s="153">
        <f>SUM(Tabel2[[#This Row],[V 5]]*10+Tabel2[[#This Row],[GT 5]])/Tabel2[[#This Row],[AW 5]]*10+Tabel2[[#This Row],[BONUS 5]]</f>
        <v>0</v>
      </c>
      <c r="AS117">
        <v>1</v>
      </c>
      <c r="AW117" s="153">
        <f>SUM(Tabel2[[#This Row],[V 6]]*10+Tabel2[[#This Row],[GT 6]])/Tabel2[[#This Row],[AW 6]]*10+Tabel2[[#This Row],[BONUS 6]]</f>
        <v>0</v>
      </c>
      <c r="AY117">
        <v>1</v>
      </c>
      <c r="BC117" s="153">
        <f>SUM(Tabel2[[#This Row],[V 7]]*10+Tabel2[[#This Row],[GT 7]])/Tabel2[[#This Row],[AW 7]]*10+Tabel2[[#This Row],[BONUS 7]]</f>
        <v>0</v>
      </c>
      <c r="BE117">
        <v>1</v>
      </c>
      <c r="BI117" s="153">
        <f>SUM(Tabel2[[#This Row],[V 8]]*10+Tabel2[[#This Row],[GT 8]])/Tabel2[[#This Row],[AW 8]]*10+Tabel2[[#This Row],[BONUS 8]]</f>
        <v>0</v>
      </c>
      <c r="BK117">
        <v>1</v>
      </c>
      <c r="BO117" s="15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7" s="22">
        <v>0</v>
      </c>
      <c r="BX117" s="22">
        <f>Tabel2[[#This Row],[Diploma]]-Tabel2[[#This Row],[Uitgeschreven]]</f>
        <v>0</v>
      </c>
      <c r="BY117" s="155" t="str">
        <f t="shared" si="15"/>
        <v>geen actie</v>
      </c>
      <c r="CA117" s="150">
        <f>Tabel2[[#This Row],[pnt t/m 2021/22]]</f>
        <v>118.57142857142857</v>
      </c>
      <c r="CB117" s="150">
        <f>Tabel2[[#This Row],[pnt 2022/2023]]</f>
        <v>0</v>
      </c>
      <c r="CC117" s="150">
        <f t="shared" si="14"/>
        <v>118.57142857142857</v>
      </c>
      <c r="CD117" s="150">
        <f>IF(Tabel2[[#This Row],[LPR 1]]&gt;0,1,0)</f>
        <v>0</v>
      </c>
      <c r="CE117" s="150">
        <f>IF(Tabel2[[#This Row],[LPR 2]]&gt;0,1,0)</f>
        <v>0</v>
      </c>
      <c r="CF117" s="150">
        <f>IF(Tabel2[[#This Row],[LPR 3]]&gt;0,1,0)</f>
        <v>0</v>
      </c>
      <c r="CG117" s="150">
        <f>IF(Tabel2[[#This Row],[LPR 4]]&gt;0,1,0)</f>
        <v>0</v>
      </c>
      <c r="CH117" s="150">
        <f>IF(Tabel2[[#This Row],[LPR 5]]&gt;0,1,0)</f>
        <v>0</v>
      </c>
      <c r="CI117" s="150">
        <f>IF(Tabel2[[#This Row],[LPR 6]]&gt;0,1,0)</f>
        <v>0</v>
      </c>
      <c r="CJ117" s="150">
        <f>IF(Tabel2[[#This Row],[LPR 7]]&gt;0,1,0)</f>
        <v>0</v>
      </c>
      <c r="CK117" s="150">
        <f>IF(Tabel2[[#This Row],[LPR 8]]&gt;0,1,0)</f>
        <v>0</v>
      </c>
      <c r="CL117" s="150">
        <f>IF(Tabel2[[#This Row],[LPR 9]]&gt;0,1,0)</f>
        <v>0</v>
      </c>
      <c r="CM117" s="150">
        <f>IF(Tabel2[[#This Row],[LPR 10]]&gt;0,1,0)</f>
        <v>0</v>
      </c>
      <c r="CN117" s="150">
        <f>SUM(Tabel7[[#This Row],[sep]:[jun]])</f>
        <v>0</v>
      </c>
      <c r="CO117" s="22" t="str">
        <f t="shared" si="9"/>
        <v/>
      </c>
      <c r="CP117" s="22" t="str">
        <f t="shared" si="10"/>
        <v/>
      </c>
      <c r="CQ117" s="22" t="str">
        <f t="shared" si="11"/>
        <v/>
      </c>
      <c r="CR117" s="22" t="str">
        <f t="shared" si="12"/>
        <v/>
      </c>
      <c r="CS117" s="22" t="str">
        <f t="shared" si="13"/>
        <v/>
      </c>
    </row>
    <row r="118" spans="1:97" x14ac:dyDescent="0.3">
      <c r="A118" s="22" t="s">
        <v>148</v>
      </c>
      <c r="B118" s="22" t="s">
        <v>149</v>
      </c>
      <c r="D118" s="22" t="s">
        <v>150</v>
      </c>
      <c r="E118" t="s">
        <v>301</v>
      </c>
      <c r="F118" s="22">
        <v>117323</v>
      </c>
      <c r="G118" s="25" t="s">
        <v>169</v>
      </c>
      <c r="H118" s="142">
        <f>Tabel2[[#This Row],[pnt t/m 2021/22]]+Tabel2[[#This Row],[pnt 2022/2023]]</f>
        <v>3083.4906204906188</v>
      </c>
      <c r="I118">
        <v>2010</v>
      </c>
      <c r="J118">
        <v>2022</v>
      </c>
      <c r="K118" s="24">
        <f>Tabel2[[#This Row],[ijkdatum]]-Tabel2[[#This Row],[Geboren]]</f>
        <v>12</v>
      </c>
      <c r="L118" s="26">
        <f>Tabel2[[#This Row],[TTL 1]]+Tabel2[[#This Row],[TTL 2]]+Tabel2[[#This Row],[TTL 3]]+Tabel2[[#This Row],[TTL 4]]+Tabel2[[#This Row],[TTL 5]]+Tabel2[[#This Row],[TTL 6]]+Tabel2[[#This Row],[TTL 7]]+Tabel2[[#This Row],[TTL 8]]+Tabel2[[#This Row],[TTL 9]]+Tabel2[[#This Row],[TTL 10]]</f>
        <v>270</v>
      </c>
      <c r="M118" s="141">
        <v>2813.4906204906188</v>
      </c>
      <c r="N118">
        <v>2</v>
      </c>
      <c r="O118">
        <v>6</v>
      </c>
      <c r="P118">
        <v>6</v>
      </c>
      <c r="Q118">
        <v>27</v>
      </c>
      <c r="S118" s="23">
        <f>SUM(Tabel2[[#This Row],[V 1]]*10+Tabel2[[#This Row],[GT 1]])/Tabel2[[#This Row],[AW 1]]*10+Tabel2[[#This Row],[BONUS 1]]</f>
        <v>145</v>
      </c>
      <c r="T118">
        <v>1</v>
      </c>
      <c r="U118">
        <v>1</v>
      </c>
      <c r="X118">
        <v>125</v>
      </c>
      <c r="Y118" s="23">
        <f>SUM(Tabel2[[#This Row],[V 2]]*10+Tabel2[[#This Row],[GT 2]])/Tabel2[[#This Row],[AW 2]]*10+Tabel2[[#This Row],[BONUS 2]]</f>
        <v>125</v>
      </c>
      <c r="AA118">
        <v>1</v>
      </c>
      <c r="AE118" s="23">
        <f>SUM(Tabel2[[#This Row],[V 3]]*10+Tabel2[[#This Row],[GT 3]])/Tabel2[[#This Row],[AW 3]]*10+Tabel2[[#This Row],[BONUS 3]]</f>
        <v>0</v>
      </c>
      <c r="AG118">
        <v>1</v>
      </c>
      <c r="AK118" s="23">
        <f>SUM(Tabel2[[#This Row],[V 4]]*10+Tabel2[[#This Row],[GT 4]])/Tabel2[[#This Row],[AW 4]]*10+Tabel2[[#This Row],[BONUS 4]]</f>
        <v>0</v>
      </c>
      <c r="AM118">
        <v>1</v>
      </c>
      <c r="AQ118" s="23">
        <f>SUM(Tabel2[[#This Row],[V 5]]*10+Tabel2[[#This Row],[GT 5]])/Tabel2[[#This Row],[AW 5]]*10+Tabel2[[#This Row],[BONUS 5]]</f>
        <v>0</v>
      </c>
      <c r="AS118">
        <v>1</v>
      </c>
      <c r="AW118" s="23">
        <f>SUM(Tabel2[[#This Row],[V 6]]*10+Tabel2[[#This Row],[GT 6]])/Tabel2[[#This Row],[AW 6]]*10+Tabel2[[#This Row],[BONUS 6]]</f>
        <v>0</v>
      </c>
      <c r="AY118">
        <v>1</v>
      </c>
      <c r="BC118" s="23">
        <f>SUM(Tabel2[[#This Row],[V 7]]*10+Tabel2[[#This Row],[GT 7]])/Tabel2[[#This Row],[AW 7]]*10+Tabel2[[#This Row],[BONUS 7]]</f>
        <v>0</v>
      </c>
      <c r="BE118">
        <v>1</v>
      </c>
      <c r="BI118" s="23">
        <f>SUM(Tabel2[[#This Row],[V 8]]*10+Tabel2[[#This Row],[GT 8]])/Tabel2[[#This Row],[AW 8]]*10+Tabel2[[#This Row],[BONUS 8]]</f>
        <v>0</v>
      </c>
      <c r="BK118">
        <v>1</v>
      </c>
      <c r="BO118" s="23">
        <f>SUM(Tabel2[[#This Row],[V 9]]*10+Tabel2[[#This Row],[GT 9]])/Tabel2[[#This Row],[AW 9]]*10+Tabel2[[#This Row],[BONUS 9]]</f>
        <v>0</v>
      </c>
      <c r="BQ118">
        <v>1</v>
      </c>
      <c r="BU118" s="23">
        <f>SUM(Tabel2[[#This Row],[V 10]]*10+Tabel2[[#This Row],[GT 10]])/Tabel2[[#This Row],[AW 10]]*10+Tabel2[[#This Row],[BONUS 10]]</f>
        <v>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18" s="22">
        <v>3000</v>
      </c>
      <c r="BX118" s="30">
        <f>Tabel2[[#This Row],[Diploma]]-Tabel2[[#This Row],[Uitgeschreven]]</f>
        <v>0</v>
      </c>
      <c r="BY118" s="2" t="str">
        <f t="shared" si="15"/>
        <v>geen actie</v>
      </c>
      <c r="CA118" s="150">
        <f>Tabel2[[#This Row],[pnt t/m 2021/22]]</f>
        <v>2813.4906204906188</v>
      </c>
      <c r="CB118" s="150">
        <f>Tabel2[[#This Row],[pnt 2022/2023]]</f>
        <v>270</v>
      </c>
      <c r="CC118" s="150">
        <f t="shared" si="14"/>
        <v>3083.4906204906188</v>
      </c>
      <c r="CD118" s="150">
        <f>IF(Tabel2[[#This Row],[LPR 1]]&gt;0,1,0)</f>
        <v>1</v>
      </c>
      <c r="CE118" s="150">
        <f>IF(Tabel2[[#This Row],[LPR 2]]&gt;0,1,0)</f>
        <v>1</v>
      </c>
      <c r="CF118" s="150">
        <f>IF(Tabel2[[#This Row],[LPR 3]]&gt;0,1,0)</f>
        <v>0</v>
      </c>
      <c r="CG118" s="150">
        <f>IF(Tabel2[[#This Row],[LPR 4]]&gt;0,1,0)</f>
        <v>0</v>
      </c>
      <c r="CH118" s="150">
        <f>IF(Tabel2[[#This Row],[LPR 5]]&gt;0,1,0)</f>
        <v>0</v>
      </c>
      <c r="CI118" s="150">
        <f>IF(Tabel2[[#This Row],[LPR 6]]&gt;0,1,0)</f>
        <v>0</v>
      </c>
      <c r="CJ118" s="150">
        <f>IF(Tabel2[[#This Row],[LPR 7]]&gt;0,1,0)</f>
        <v>0</v>
      </c>
      <c r="CK118" s="150">
        <f>IF(Tabel2[[#This Row],[LPR 8]]&gt;0,1,0)</f>
        <v>0</v>
      </c>
      <c r="CL118" s="150">
        <f>IF(Tabel2[[#This Row],[LPR 9]]&gt;0,1,0)</f>
        <v>0</v>
      </c>
      <c r="CM118" s="150">
        <f>IF(Tabel2[[#This Row],[LPR 10]]&gt;0,1,0)</f>
        <v>0</v>
      </c>
      <c r="CN118" s="150">
        <f>SUM(Tabel7[[#This Row],[sep]:[jun]])</f>
        <v>2</v>
      </c>
      <c r="CO118" s="22" t="str">
        <f t="shared" si="9"/>
        <v/>
      </c>
      <c r="CP118" s="22" t="str">
        <f t="shared" si="10"/>
        <v/>
      </c>
      <c r="CQ118" s="22" t="str">
        <f t="shared" si="11"/>
        <v/>
      </c>
      <c r="CR118" s="22" t="str">
        <f t="shared" si="12"/>
        <v/>
      </c>
      <c r="CS118" s="22" t="str">
        <f t="shared" si="13"/>
        <v>x</v>
      </c>
    </row>
    <row r="119" spans="1:97" x14ac:dyDescent="0.3">
      <c r="A119" s="22" t="s">
        <v>148</v>
      </c>
      <c r="B119" s="22" t="s">
        <v>149</v>
      </c>
      <c r="D119" s="22" t="s">
        <v>163</v>
      </c>
      <c r="E119" t="s">
        <v>302</v>
      </c>
      <c r="F119" s="22">
        <v>119721</v>
      </c>
      <c r="G119" s="25" t="s">
        <v>152</v>
      </c>
      <c r="H119" s="142">
        <f>Tabel2[[#This Row],[pnt t/m 2021/22]]+Tabel2[[#This Row],[pnt 2022/2023]]</f>
        <v>255.23809523809524</v>
      </c>
      <c r="I119">
        <v>2011</v>
      </c>
      <c r="J119">
        <v>2022</v>
      </c>
      <c r="K119" s="24">
        <f>Tabel2[[#This Row],[ijkdatum]]-Tabel2[[#This Row],[Geboren]]</f>
        <v>11</v>
      </c>
      <c r="L119" s="26">
        <f>Tabel2[[#This Row],[TTL 1]]+Tabel2[[#This Row],[TTL 2]]+Tabel2[[#This Row],[TTL 3]]+Tabel2[[#This Row],[TTL 4]]+Tabel2[[#This Row],[TTL 5]]+Tabel2[[#This Row],[TTL 6]]+Tabel2[[#This Row],[TTL 7]]+Tabel2[[#This Row],[TTL 8]]+Tabel2[[#This Row],[TTL 9]]+Tabel2[[#This Row],[TTL 10]]</f>
        <v>0</v>
      </c>
      <c r="M119" s="141">
        <v>255.23809523809524</v>
      </c>
      <c r="O119">
        <v>1</v>
      </c>
      <c r="S119" s="23">
        <f>SUM(Tabel2[[#This Row],[V 1]]*10+Tabel2[[#This Row],[GT 1]])/Tabel2[[#This Row],[AW 1]]*10+Tabel2[[#This Row],[BONUS 1]]</f>
        <v>0</v>
      </c>
      <c r="U119">
        <v>1</v>
      </c>
      <c r="Y119" s="23">
        <f>SUM(Tabel2[[#This Row],[V 2]]*10+Tabel2[[#This Row],[GT 2]])/Tabel2[[#This Row],[AW 2]]*10+Tabel2[[#This Row],[BONUS 2]]</f>
        <v>0</v>
      </c>
      <c r="AA119">
        <v>1</v>
      </c>
      <c r="AE119" s="23">
        <f>SUM(Tabel2[[#This Row],[V 3]]*10+Tabel2[[#This Row],[GT 3]])/Tabel2[[#This Row],[AW 3]]*10+Tabel2[[#This Row],[BONUS 3]]</f>
        <v>0</v>
      </c>
      <c r="AG119">
        <v>1</v>
      </c>
      <c r="AK119" s="23">
        <f>SUM(Tabel2[[#This Row],[V 4]]*10+Tabel2[[#This Row],[GT 4]])/Tabel2[[#This Row],[AW 4]]*10+Tabel2[[#This Row],[BONUS 4]]</f>
        <v>0</v>
      </c>
      <c r="AM119">
        <v>1</v>
      </c>
      <c r="AQ119" s="23">
        <f>SUM(Tabel2[[#This Row],[V 5]]*10+Tabel2[[#This Row],[GT 5]])/Tabel2[[#This Row],[AW 5]]*10+Tabel2[[#This Row],[BONUS 5]]</f>
        <v>0</v>
      </c>
      <c r="AS119">
        <v>1</v>
      </c>
      <c r="AW119" s="23">
        <f>SUM(Tabel2[[#This Row],[V 6]]*10+Tabel2[[#This Row],[GT 6]])/Tabel2[[#This Row],[AW 6]]*10+Tabel2[[#This Row],[BONUS 6]]</f>
        <v>0</v>
      </c>
      <c r="AY119">
        <v>1</v>
      </c>
      <c r="BC119" s="23">
        <f>SUM(Tabel2[[#This Row],[V 7]]*10+Tabel2[[#This Row],[GT 7]])/Tabel2[[#This Row],[AW 7]]*10+Tabel2[[#This Row],[BONUS 7]]</f>
        <v>0</v>
      </c>
      <c r="BE119">
        <v>1</v>
      </c>
      <c r="BI119" s="23">
        <f>SUM(Tabel2[[#This Row],[V 8]]*10+Tabel2[[#This Row],[GT 8]])/Tabel2[[#This Row],[AW 8]]*10+Tabel2[[#This Row],[BONUS 8]]</f>
        <v>0</v>
      </c>
      <c r="BK119">
        <v>1</v>
      </c>
      <c r="BO119" s="23">
        <f>SUM(Tabel2[[#This Row],[V 9]]*10+Tabel2[[#This Row],[GT 9]])/Tabel2[[#This Row],[AW 9]]*10+Tabel2[[#This Row],[BONUS 9]]</f>
        <v>0</v>
      </c>
      <c r="BQ119">
        <v>1</v>
      </c>
      <c r="BU119" s="23">
        <f>SUM(Tabel2[[#This Row],[V 10]]*10+Tabel2[[#This Row],[GT 10]])/Tabel2[[#This Row],[AW 10]]*10+Tabel2[[#This Row],[BONUS 10]]</f>
        <v>0</v>
      </c>
      <c r="BV1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9" s="22">
        <v>250</v>
      </c>
      <c r="BX119" s="30">
        <f>Tabel2[[#This Row],[Diploma]]-Tabel2[[#This Row],[Uitgeschreven]]</f>
        <v>0</v>
      </c>
      <c r="BY119" s="2" t="str">
        <f t="shared" si="15"/>
        <v>geen actie</v>
      </c>
      <c r="CA119" s="150">
        <f>Tabel2[[#This Row],[pnt t/m 2021/22]]</f>
        <v>255.23809523809524</v>
      </c>
      <c r="CB119" s="150">
        <f>Tabel2[[#This Row],[pnt 2022/2023]]</f>
        <v>0</v>
      </c>
      <c r="CC119" s="150">
        <f t="shared" si="14"/>
        <v>255.23809523809524</v>
      </c>
      <c r="CD119" s="150">
        <f>IF(Tabel2[[#This Row],[LPR 1]]&gt;0,1,0)</f>
        <v>0</v>
      </c>
      <c r="CE119" s="150">
        <f>IF(Tabel2[[#This Row],[LPR 2]]&gt;0,1,0)</f>
        <v>0</v>
      </c>
      <c r="CF119" s="150">
        <f>IF(Tabel2[[#This Row],[LPR 3]]&gt;0,1,0)</f>
        <v>0</v>
      </c>
      <c r="CG119" s="150">
        <f>IF(Tabel2[[#This Row],[LPR 4]]&gt;0,1,0)</f>
        <v>0</v>
      </c>
      <c r="CH119" s="150">
        <f>IF(Tabel2[[#This Row],[LPR 5]]&gt;0,1,0)</f>
        <v>0</v>
      </c>
      <c r="CI119" s="150">
        <f>IF(Tabel2[[#This Row],[LPR 6]]&gt;0,1,0)</f>
        <v>0</v>
      </c>
      <c r="CJ119" s="150">
        <f>IF(Tabel2[[#This Row],[LPR 7]]&gt;0,1,0)</f>
        <v>0</v>
      </c>
      <c r="CK119" s="150">
        <f>IF(Tabel2[[#This Row],[LPR 8]]&gt;0,1,0)</f>
        <v>0</v>
      </c>
      <c r="CL119" s="150">
        <f>IF(Tabel2[[#This Row],[LPR 9]]&gt;0,1,0)</f>
        <v>0</v>
      </c>
      <c r="CM119" s="150">
        <f>IF(Tabel2[[#This Row],[LPR 10]]&gt;0,1,0)</f>
        <v>0</v>
      </c>
      <c r="CN119" s="150">
        <f>SUM(Tabel7[[#This Row],[sep]:[jun]])</f>
        <v>0</v>
      </c>
      <c r="CO119" s="22" t="str">
        <f t="shared" si="9"/>
        <v/>
      </c>
      <c r="CP119" s="22" t="str">
        <f t="shared" si="10"/>
        <v/>
      </c>
      <c r="CQ119" s="22" t="str">
        <f t="shared" si="11"/>
        <v/>
      </c>
      <c r="CR119" s="22" t="str">
        <f t="shared" si="12"/>
        <v/>
      </c>
      <c r="CS119" s="22" t="str">
        <f t="shared" si="13"/>
        <v/>
      </c>
    </row>
    <row r="120" spans="1:97" x14ac:dyDescent="0.3">
      <c r="A120" s="22" t="s">
        <v>173</v>
      </c>
      <c r="B120" s="22" t="s">
        <v>149</v>
      </c>
      <c r="D120" s="22" t="s">
        <v>160</v>
      </c>
      <c r="E120" t="s">
        <v>303</v>
      </c>
      <c r="F120" s="22">
        <v>119697</v>
      </c>
      <c r="G120" s="25" t="s">
        <v>169</v>
      </c>
      <c r="H120" s="142">
        <f>Tabel2[[#This Row],[pnt t/m 2021/22]]+Tabel2[[#This Row],[pnt 2022/2023]]</f>
        <v>173</v>
      </c>
      <c r="I120">
        <v>2013</v>
      </c>
      <c r="J120">
        <v>2022</v>
      </c>
      <c r="K120" s="24">
        <f>Tabel2[[#This Row],[ijkdatum]]-Tabel2[[#This Row],[Geboren]]</f>
        <v>9</v>
      </c>
      <c r="L120" s="26">
        <v>173</v>
      </c>
      <c r="M120" s="153">
        <v>0</v>
      </c>
      <c r="O120">
        <v>1</v>
      </c>
      <c r="S120" s="153">
        <f>SUM(Tabel2[[#This Row],[V 1]]*10+Tabel2[[#This Row],[GT 1]])/Tabel2[[#This Row],[AW 1]]*10+Tabel2[[#This Row],[BONUS 1]]</f>
        <v>0</v>
      </c>
      <c r="T120">
        <v>3</v>
      </c>
      <c r="U120">
        <v>10</v>
      </c>
      <c r="V120">
        <v>5</v>
      </c>
      <c r="W120">
        <v>33</v>
      </c>
      <c r="Y120" s="153">
        <f>SUM(Tabel2[[#This Row],[V 2]]*10+Tabel2[[#This Row],[GT 2]])/Tabel2[[#This Row],[AW 2]]*10+Tabel2[[#This Row],[BONUS 2]]</f>
        <v>83</v>
      </c>
      <c r="AA120">
        <v>1</v>
      </c>
      <c r="AE120" s="153">
        <f>SUM(Tabel2[[#This Row],[V 3]]*10+Tabel2[[#This Row],[GT 3]])/Tabel2[[#This Row],[AW 3]]*10+Tabel2[[#This Row],[BONUS 3]]</f>
        <v>0</v>
      </c>
      <c r="AG120">
        <v>1</v>
      </c>
      <c r="AK120" s="153">
        <f>SUM(Tabel2[[#This Row],[V 4]]*10+Tabel2[[#This Row],[GT 4]])/Tabel2[[#This Row],[AW 4]]*10+Tabel2[[#This Row],[BONUS 4]]</f>
        <v>0</v>
      </c>
      <c r="AM120">
        <v>1</v>
      </c>
      <c r="AQ120" s="153">
        <f>SUM(Tabel2[[#This Row],[V 5]]*10+Tabel2[[#This Row],[GT 5]])/Tabel2[[#This Row],[AW 5]]*10+Tabel2[[#This Row],[BONUS 5]]</f>
        <v>0</v>
      </c>
      <c r="AS120">
        <v>1</v>
      </c>
      <c r="AW120" s="153">
        <f>SUM(Tabel2[[#This Row],[V 6]]*10+Tabel2[[#This Row],[GT 6]])/Tabel2[[#This Row],[AW 6]]*10+Tabel2[[#This Row],[BONUS 6]]</f>
        <v>0</v>
      </c>
      <c r="AY120">
        <v>1</v>
      </c>
      <c r="BC120" s="23">
        <f>SUM(Tabel2[[#This Row],[V 7]]*10+Tabel2[[#This Row],[GT 7]])/Tabel2[[#This Row],[AW 7]]*10+Tabel2[[#This Row],[BONUS 7]]</f>
        <v>0</v>
      </c>
      <c r="BE120">
        <v>1</v>
      </c>
      <c r="BI120" s="153">
        <f>SUM(Tabel2[[#This Row],[V 8]]*10+Tabel2[[#This Row],[GT 8]])/Tabel2[[#This Row],[AW 8]]*10+Tabel2[[#This Row],[BONUS 8]]</f>
        <v>0</v>
      </c>
      <c r="BK120">
        <v>1</v>
      </c>
      <c r="BO120" s="153">
        <f>SUM(Tabel2[[#This Row],[V 9]]*10+Tabel2[[#This Row],[GT 9]])/Tabel2[[#This Row],[AW 9]]*10+Tabel2[[#This Row],[BONUS 9]]</f>
        <v>0</v>
      </c>
      <c r="BQ120">
        <v>1</v>
      </c>
      <c r="BU120" s="23">
        <f>SUM(Tabel2[[#This Row],[V 10]]*10+Tabel2[[#This Row],[GT 10]])/Tabel2[[#This Row],[AW 10]]*10+Tabel2[[#This Row],[BONUS 10]]</f>
        <v>0</v>
      </c>
      <c r="BV1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0" s="22">
        <v>0</v>
      </c>
      <c r="BX120" s="22">
        <f>Tabel2[[#This Row],[Diploma]]-Tabel2[[#This Row],[Uitgeschreven]]</f>
        <v>0</v>
      </c>
      <c r="BY120" s="155" t="str">
        <f t="shared" si="15"/>
        <v>geen actie</v>
      </c>
      <c r="CA120" s="150">
        <f>Tabel2[[#This Row],[pnt t/m 2021/22]]</f>
        <v>0</v>
      </c>
      <c r="CB120" s="150">
        <f>Tabel2[[#This Row],[pnt 2022/2023]]</f>
        <v>173</v>
      </c>
      <c r="CC120" s="150">
        <f t="shared" si="14"/>
        <v>173</v>
      </c>
      <c r="CD120" s="150">
        <f>IF(Tabel2[[#This Row],[LPR 1]]&gt;0,1,0)</f>
        <v>0</v>
      </c>
      <c r="CE120" s="150">
        <f>IF(Tabel2[[#This Row],[LPR 2]]&gt;0,1,0)</f>
        <v>1</v>
      </c>
      <c r="CF120" s="150">
        <f>IF(Tabel2[[#This Row],[LPR 3]]&gt;0,1,0)</f>
        <v>0</v>
      </c>
      <c r="CG120" s="150">
        <f>IF(Tabel2[[#This Row],[LPR 4]]&gt;0,1,0)</f>
        <v>0</v>
      </c>
      <c r="CH120" s="150">
        <f>IF(Tabel2[[#This Row],[LPR 5]]&gt;0,1,0)</f>
        <v>0</v>
      </c>
      <c r="CI120" s="150">
        <f>IF(Tabel2[[#This Row],[LPR 6]]&gt;0,1,0)</f>
        <v>0</v>
      </c>
      <c r="CJ120" s="150">
        <f>IF(Tabel2[[#This Row],[LPR 7]]&gt;0,1,0)</f>
        <v>0</v>
      </c>
      <c r="CK120" s="150">
        <f>IF(Tabel2[[#This Row],[LPR 8]]&gt;0,1,0)</f>
        <v>0</v>
      </c>
      <c r="CL120" s="150">
        <f>IF(Tabel2[[#This Row],[LPR 9]]&gt;0,1,0)</f>
        <v>0</v>
      </c>
      <c r="CM120" s="150">
        <f>IF(Tabel2[[#This Row],[LPR 10]]&gt;0,1,0)</f>
        <v>0</v>
      </c>
      <c r="CN120" s="150">
        <f>SUM(Tabel7[[#This Row],[sep]:[jun]])</f>
        <v>1</v>
      </c>
      <c r="CO120" s="22" t="str">
        <f t="shared" si="9"/>
        <v/>
      </c>
      <c r="CP120" s="22" t="str">
        <f t="shared" si="10"/>
        <v/>
      </c>
      <c r="CQ120" s="22" t="str">
        <f t="shared" si="11"/>
        <v/>
      </c>
      <c r="CR120" s="22" t="str">
        <f t="shared" si="12"/>
        <v/>
      </c>
      <c r="CS120" s="22" t="str">
        <f t="shared" si="13"/>
        <v/>
      </c>
    </row>
    <row r="121" spans="1:97" x14ac:dyDescent="0.3">
      <c r="A121" s="22" t="s">
        <v>156</v>
      </c>
      <c r="B121" s="22" t="s">
        <v>149</v>
      </c>
      <c r="D121" s="22" t="s">
        <v>150</v>
      </c>
      <c r="E121" t="s">
        <v>304</v>
      </c>
      <c r="F121" s="22">
        <v>118246</v>
      </c>
      <c r="G121" s="25" t="s">
        <v>162</v>
      </c>
      <c r="H121" s="142">
        <f>Tabel2[[#This Row],[pnt t/m 2021/22]]+Tabel2[[#This Row],[pnt 2022/2023]]</f>
        <v>2266.8055555555557</v>
      </c>
      <c r="I121">
        <v>2008</v>
      </c>
      <c r="J121">
        <v>2022</v>
      </c>
      <c r="K121" s="24">
        <f>Tabel2[[#This Row],[ijkdatum]]-Tabel2[[#This Row],[Geboren]]</f>
        <v>14</v>
      </c>
      <c r="L121" s="26">
        <f>Tabel2[[#This Row],[TTL 1]]+Tabel2[[#This Row],[TTL 2]]+Tabel2[[#This Row],[TTL 3]]+Tabel2[[#This Row],[TTL 4]]+Tabel2[[#This Row],[TTL 5]]+Tabel2[[#This Row],[TTL 6]]+Tabel2[[#This Row],[TTL 7]]+Tabel2[[#This Row],[TTL 8]]+Tabel2[[#This Row],[TTL 9]]+Tabel2[[#This Row],[TTL 10]]</f>
        <v>247.91666666666666</v>
      </c>
      <c r="M121" s="153">
        <v>2018.8888888888889</v>
      </c>
      <c r="N121">
        <v>5</v>
      </c>
      <c r="O121">
        <v>8</v>
      </c>
      <c r="P121">
        <v>5</v>
      </c>
      <c r="Q121">
        <v>33</v>
      </c>
      <c r="S121" s="23">
        <f>SUM(Tabel2[[#This Row],[V 1]]*10+Tabel2[[#This Row],[GT 1]])/Tabel2[[#This Row],[AW 1]]*10+Tabel2[[#This Row],[BONUS 1]]</f>
        <v>103.75</v>
      </c>
      <c r="T121">
        <v>4</v>
      </c>
      <c r="U121">
        <v>12</v>
      </c>
      <c r="V121">
        <v>8</v>
      </c>
      <c r="W121">
        <v>48</v>
      </c>
      <c r="Y121" s="23">
        <f>SUM(Tabel2[[#This Row],[V 2]]*10+Tabel2[[#This Row],[GT 2]])/Tabel2[[#This Row],[AW 2]]*10+Tabel2[[#This Row],[BONUS 2]]</f>
        <v>106.66666666666666</v>
      </c>
      <c r="Z121">
        <v>5</v>
      </c>
      <c r="AA121">
        <v>8</v>
      </c>
      <c r="AB121">
        <v>1</v>
      </c>
      <c r="AC121">
        <v>20</v>
      </c>
      <c r="AE121" s="23">
        <f>SUM(Tabel2[[#This Row],[V 3]]*10+Tabel2[[#This Row],[GT 3]])/Tabel2[[#This Row],[AW 3]]*10+Tabel2[[#This Row],[BONUS 3]]</f>
        <v>37.5</v>
      </c>
      <c r="AG121">
        <v>1</v>
      </c>
      <c r="AK121" s="23">
        <f>SUM(Tabel2[[#This Row],[V 4]]*10+Tabel2[[#This Row],[GT 4]])/Tabel2[[#This Row],[AW 4]]*10+Tabel2[[#This Row],[BONUS 4]]</f>
        <v>0</v>
      </c>
      <c r="AM121">
        <v>1</v>
      </c>
      <c r="AQ121" s="23">
        <f>SUM(Tabel2[[#This Row],[V 5]]*10+Tabel2[[#This Row],[GT 5]])/Tabel2[[#This Row],[AW 5]]*10+Tabel2[[#This Row],[BONUS 5]]</f>
        <v>0</v>
      </c>
      <c r="AS121">
        <v>1</v>
      </c>
      <c r="AW121" s="23">
        <f>SUM(Tabel2[[#This Row],[V 6]]*10+Tabel2[[#This Row],[GT 6]])/Tabel2[[#This Row],[AW 6]]*10+Tabel2[[#This Row],[BONUS 6]]</f>
        <v>0</v>
      </c>
      <c r="AY121">
        <v>1</v>
      </c>
      <c r="BC121" s="23">
        <f>SUM(Tabel2[[#This Row],[V 7]]*10+Tabel2[[#This Row],[GT 7]])/Tabel2[[#This Row],[AW 7]]*10+Tabel2[[#This Row],[BONUS 7]]</f>
        <v>0</v>
      </c>
      <c r="BE121">
        <v>1</v>
      </c>
      <c r="BI121" s="23">
        <f>SUM(Tabel2[[#This Row],[V 8]]*10+Tabel2[[#This Row],[GT 8]])/Tabel2[[#This Row],[AW 8]]*10+Tabel2[[#This Row],[BONUS 8]]</f>
        <v>0</v>
      </c>
      <c r="BK121">
        <v>1</v>
      </c>
      <c r="BO121" s="23">
        <f>SUM(Tabel2[[#This Row],[V 9]]*10+Tabel2[[#This Row],[GT 9]])/Tabel2[[#This Row],[AW 9]]*10+Tabel2[[#This Row],[BONUS 9]]</f>
        <v>0</v>
      </c>
      <c r="BQ121">
        <v>1</v>
      </c>
      <c r="BU121" s="23">
        <f>SUM(Tabel2[[#This Row],[V 10]]*10+Tabel2[[#This Row],[GT 10]])/Tabel2[[#This Row],[AW 10]]*10+Tabel2[[#This Row],[BONUS 10]]</f>
        <v>0</v>
      </c>
      <c r="BV1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21" s="22">
        <v>2000</v>
      </c>
      <c r="BX121" s="30">
        <f>Tabel2[[#This Row],[Diploma]]-Tabel2[[#This Row],[Uitgeschreven]]</f>
        <v>0</v>
      </c>
      <c r="BY121" s="2" t="str">
        <f t="shared" si="15"/>
        <v>geen actie</v>
      </c>
      <c r="CA121" s="150">
        <f>Tabel2[[#This Row],[pnt t/m 2021/22]]</f>
        <v>2018.8888888888889</v>
      </c>
      <c r="CB121" s="150">
        <f>Tabel2[[#This Row],[pnt 2022/2023]]</f>
        <v>247.91666666666666</v>
      </c>
      <c r="CC121" s="150">
        <f t="shared" si="14"/>
        <v>2266.8055555555557</v>
      </c>
      <c r="CD121" s="150">
        <f>IF(Tabel2[[#This Row],[LPR 1]]&gt;0,1,0)</f>
        <v>1</v>
      </c>
      <c r="CE121" s="150">
        <f>IF(Tabel2[[#This Row],[LPR 2]]&gt;0,1,0)</f>
        <v>1</v>
      </c>
      <c r="CF121" s="150">
        <f>IF(Tabel2[[#This Row],[LPR 3]]&gt;0,1,0)</f>
        <v>1</v>
      </c>
      <c r="CG121" s="150">
        <f>IF(Tabel2[[#This Row],[LPR 4]]&gt;0,1,0)</f>
        <v>0</v>
      </c>
      <c r="CH121" s="150">
        <f>IF(Tabel2[[#This Row],[LPR 5]]&gt;0,1,0)</f>
        <v>0</v>
      </c>
      <c r="CI121" s="150">
        <f>IF(Tabel2[[#This Row],[LPR 6]]&gt;0,1,0)</f>
        <v>0</v>
      </c>
      <c r="CJ121" s="150">
        <f>IF(Tabel2[[#This Row],[LPR 7]]&gt;0,1,0)</f>
        <v>0</v>
      </c>
      <c r="CK121" s="150">
        <f>IF(Tabel2[[#This Row],[LPR 8]]&gt;0,1,0)</f>
        <v>0</v>
      </c>
      <c r="CL121" s="150">
        <f>IF(Tabel2[[#This Row],[LPR 9]]&gt;0,1,0)</f>
        <v>0</v>
      </c>
      <c r="CM121" s="150">
        <f>IF(Tabel2[[#This Row],[LPR 10]]&gt;0,1,0)</f>
        <v>0</v>
      </c>
      <c r="CN121" s="150">
        <f>SUM(Tabel7[[#This Row],[sep]:[jun]])</f>
        <v>3</v>
      </c>
      <c r="CO121" s="22" t="str">
        <f t="shared" si="9"/>
        <v/>
      </c>
      <c r="CP121" s="22" t="str">
        <f t="shared" si="10"/>
        <v/>
      </c>
      <c r="CQ121" s="22" t="str">
        <f t="shared" si="11"/>
        <v/>
      </c>
      <c r="CR121" s="22" t="str">
        <f t="shared" si="12"/>
        <v/>
      </c>
      <c r="CS121" s="22" t="str">
        <f t="shared" si="13"/>
        <v/>
      </c>
    </row>
    <row r="122" spans="1:97" x14ac:dyDescent="0.3">
      <c r="A122" s="22" t="s">
        <v>159</v>
      </c>
      <c r="B122" s="22" t="s">
        <v>149</v>
      </c>
      <c r="D122" s="22" t="s">
        <v>150</v>
      </c>
      <c r="E122" t="s">
        <v>305</v>
      </c>
      <c r="F122" s="22">
        <v>119424</v>
      </c>
      <c r="G122" s="25" t="s">
        <v>206</v>
      </c>
      <c r="H122" s="142">
        <f>Tabel2[[#This Row],[pnt t/m 2021/22]]+Tabel2[[#This Row],[pnt 2022/2023]]</f>
        <v>1068.7293841779135</v>
      </c>
      <c r="I122">
        <v>2008</v>
      </c>
      <c r="J122">
        <v>2022</v>
      </c>
      <c r="K122" s="24">
        <f>Tabel2[[#This Row],[ijkdatum]]-Tabel2[[#This Row],[Geboren]]</f>
        <v>14</v>
      </c>
      <c r="L122" s="26">
        <f>Tabel2[[#This Row],[TTL 1]]+Tabel2[[#This Row],[TTL 2]]+Tabel2[[#This Row],[TTL 3]]+Tabel2[[#This Row],[TTL 4]]+Tabel2[[#This Row],[TTL 5]]+Tabel2[[#This Row],[TTL 6]]+Tabel2[[#This Row],[TTL 7]]+Tabel2[[#This Row],[TTL 8]]+Tabel2[[#This Row],[TTL 9]]+Tabel2[[#This Row],[TTL 10]]</f>
        <v>122.35294117647058</v>
      </c>
      <c r="M122" s="141">
        <v>946.37644300144302</v>
      </c>
      <c r="O122">
        <v>1</v>
      </c>
      <c r="S122" s="23">
        <f>SUM(Tabel2[[#This Row],[V 1]]*10+Tabel2[[#This Row],[GT 1]])/Tabel2[[#This Row],[AW 1]]*10+Tabel2[[#This Row],[BONUS 1]]</f>
        <v>0</v>
      </c>
      <c r="U122">
        <v>1</v>
      </c>
      <c r="Y122" s="23">
        <f>SUM(Tabel2[[#This Row],[V 2]]*10+Tabel2[[#This Row],[GT 2]])/Tabel2[[#This Row],[AW 2]]*10+Tabel2[[#This Row],[BONUS 2]]</f>
        <v>0</v>
      </c>
      <c r="Z122">
        <v>9</v>
      </c>
      <c r="AA122">
        <v>17</v>
      </c>
      <c r="AB122">
        <v>13</v>
      </c>
      <c r="AC122">
        <v>78</v>
      </c>
      <c r="AE122" s="23">
        <f>SUM(Tabel2[[#This Row],[V 3]]*10+Tabel2[[#This Row],[GT 3]])/Tabel2[[#This Row],[AW 3]]*10+Tabel2[[#This Row],[BONUS 3]]</f>
        <v>122.35294117647058</v>
      </c>
      <c r="AG122">
        <v>1</v>
      </c>
      <c r="AK122" s="23">
        <f>SUM(Tabel2[[#This Row],[V 4]]*10+Tabel2[[#This Row],[GT 4]])/Tabel2[[#This Row],[AW 4]]*10+Tabel2[[#This Row],[BONUS 4]]</f>
        <v>0</v>
      </c>
      <c r="AM122">
        <v>1</v>
      </c>
      <c r="AQ122" s="23">
        <f>SUM(Tabel2[[#This Row],[V 5]]*10+Tabel2[[#This Row],[GT 5]])/Tabel2[[#This Row],[AW 5]]*10+Tabel2[[#This Row],[BONUS 5]]</f>
        <v>0</v>
      </c>
      <c r="AS122">
        <v>1</v>
      </c>
      <c r="AW122" s="23">
        <f>SUM(Tabel2[[#This Row],[V 6]]*10+Tabel2[[#This Row],[GT 6]])/Tabel2[[#This Row],[AW 6]]*10+Tabel2[[#This Row],[BONUS 6]]</f>
        <v>0</v>
      </c>
      <c r="AY122">
        <v>1</v>
      </c>
      <c r="BC122" s="23">
        <f>SUM(Tabel2[[#This Row],[V 7]]*10+Tabel2[[#This Row],[GT 7]])/Tabel2[[#This Row],[AW 7]]*10+Tabel2[[#This Row],[BONUS 7]]</f>
        <v>0</v>
      </c>
      <c r="BE122">
        <v>1</v>
      </c>
      <c r="BI122" s="23">
        <f>SUM(Tabel2[[#This Row],[V 8]]*10+Tabel2[[#This Row],[GT 8]])/Tabel2[[#This Row],[AW 8]]*10+Tabel2[[#This Row],[BONUS 8]]</f>
        <v>0</v>
      </c>
      <c r="BK122">
        <v>1</v>
      </c>
      <c r="BO122" s="23">
        <f>SUM(Tabel2[[#This Row],[V 9]]*10+Tabel2[[#This Row],[GT 9]])/Tabel2[[#This Row],[AW 9]]*10+Tabel2[[#This Row],[BONUS 9]]</f>
        <v>0</v>
      </c>
      <c r="BQ122">
        <v>1</v>
      </c>
      <c r="BU122" s="23">
        <f>SUM(Tabel2[[#This Row],[V 10]]*10+Tabel2[[#This Row],[GT 10]])/Tabel2[[#This Row],[AW 10]]*10+Tabel2[[#This Row],[BONUS 10]]</f>
        <v>0</v>
      </c>
      <c r="BV1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2" s="22">
        <v>750</v>
      </c>
      <c r="BX122" s="30">
        <f>Tabel2[[#This Row],[Diploma]]-Tabel2[[#This Row],[Uitgeschreven]]</f>
        <v>250</v>
      </c>
      <c r="BY122" s="2" t="str">
        <f t="shared" si="15"/>
        <v>diploma uitschrijven: 1000 punten</v>
      </c>
      <c r="CA122" s="150">
        <f>Tabel2[[#This Row],[pnt t/m 2021/22]]</f>
        <v>946.37644300144302</v>
      </c>
      <c r="CB122" s="150">
        <f>Tabel2[[#This Row],[pnt 2022/2023]]</f>
        <v>122.35294117647058</v>
      </c>
      <c r="CC122" s="150">
        <f t="shared" si="14"/>
        <v>1068.7293841779135</v>
      </c>
      <c r="CD122" s="150">
        <f>IF(Tabel2[[#This Row],[LPR 1]]&gt;0,1,0)</f>
        <v>0</v>
      </c>
      <c r="CE122" s="150">
        <f>IF(Tabel2[[#This Row],[LPR 2]]&gt;0,1,0)</f>
        <v>0</v>
      </c>
      <c r="CF122" s="150">
        <f>IF(Tabel2[[#This Row],[LPR 3]]&gt;0,1,0)</f>
        <v>1</v>
      </c>
      <c r="CG122" s="150">
        <f>IF(Tabel2[[#This Row],[LPR 4]]&gt;0,1,0)</f>
        <v>0</v>
      </c>
      <c r="CH122" s="150">
        <f>IF(Tabel2[[#This Row],[LPR 5]]&gt;0,1,0)</f>
        <v>0</v>
      </c>
      <c r="CI122" s="150">
        <f>IF(Tabel2[[#This Row],[LPR 6]]&gt;0,1,0)</f>
        <v>0</v>
      </c>
      <c r="CJ122" s="150">
        <f>IF(Tabel2[[#This Row],[LPR 7]]&gt;0,1,0)</f>
        <v>0</v>
      </c>
      <c r="CK122" s="150">
        <f>IF(Tabel2[[#This Row],[LPR 8]]&gt;0,1,0)</f>
        <v>0</v>
      </c>
      <c r="CL122" s="150">
        <f>IF(Tabel2[[#This Row],[LPR 9]]&gt;0,1,0)</f>
        <v>0</v>
      </c>
      <c r="CM122" s="150">
        <f>IF(Tabel2[[#This Row],[LPR 10]]&gt;0,1,0)</f>
        <v>0</v>
      </c>
      <c r="CN122" s="150">
        <f>SUM(Tabel7[[#This Row],[sep]:[jun]])</f>
        <v>1</v>
      </c>
      <c r="CO122" s="22" t="str">
        <f t="shared" si="9"/>
        <v>x</v>
      </c>
      <c r="CP122" s="22" t="str">
        <f t="shared" si="10"/>
        <v/>
      </c>
      <c r="CQ122" s="22" t="str">
        <f t="shared" si="11"/>
        <v/>
      </c>
      <c r="CR122" s="22" t="str">
        <f t="shared" si="12"/>
        <v/>
      </c>
      <c r="CS122" s="22" t="str">
        <f t="shared" si="13"/>
        <v/>
      </c>
    </row>
    <row r="123" spans="1:97" x14ac:dyDescent="0.3">
      <c r="A123" s="22" t="s">
        <v>153</v>
      </c>
      <c r="B123" s="22" t="s">
        <v>157</v>
      </c>
      <c r="D123" s="22" t="s">
        <v>163</v>
      </c>
      <c r="E123" t="s">
        <v>306</v>
      </c>
      <c r="F123" s="22">
        <v>120262</v>
      </c>
      <c r="G123" s="25" t="s">
        <v>213</v>
      </c>
      <c r="H123" s="23">
        <f>Tabel2[[#This Row],[pnt t/m 2021/22]]+Tabel2[[#This Row],[pnt 2022/2023]]</f>
        <v>202</v>
      </c>
      <c r="I123">
        <v>2011</v>
      </c>
      <c r="J123">
        <v>2022</v>
      </c>
      <c r="K123" s="24">
        <f>Tabel2[[#This Row],[ijkdatum]]-Tabel2[[#This Row],[Geboren]]</f>
        <v>11</v>
      </c>
      <c r="L123" s="26">
        <f>Tabel2[[#This Row],[TTL 1]]+Tabel2[[#This Row],[TTL 2]]+Tabel2[[#This Row],[TTL 3]]+Tabel2[[#This Row],[TTL 4]]+Tabel2[[#This Row],[TTL 5]]+Tabel2[[#This Row],[TTL 6]]+Tabel2[[#This Row],[TTL 7]]+Tabel2[[#This Row],[TTL 8]]+Tabel2[[#This Row],[TTL 9]]+Tabel2[[#This Row],[TTL 10]]</f>
        <v>0</v>
      </c>
      <c r="M123" s="153">
        <v>202</v>
      </c>
      <c r="O123">
        <v>1</v>
      </c>
      <c r="S123" s="153">
        <f>SUM(Tabel2[[#This Row],[V 1]]*10+Tabel2[[#This Row],[GT 1]])/Tabel2[[#This Row],[AW 1]]*10+Tabel2[[#This Row],[BONUS 1]]</f>
        <v>0</v>
      </c>
      <c r="U123">
        <v>1</v>
      </c>
      <c r="Y123" s="153">
        <f>SUM(Tabel2[[#This Row],[V 2]]*10+Tabel2[[#This Row],[GT 2]])/Tabel2[[#This Row],[AW 2]]*10+Tabel2[[#This Row],[BONUS 2]]</f>
        <v>0</v>
      </c>
      <c r="AA123">
        <v>1</v>
      </c>
      <c r="AE123" s="153">
        <f>SUM(Tabel2[[#This Row],[V 3]]*10+Tabel2[[#This Row],[GT 3]])/Tabel2[[#This Row],[AW 3]]*10+Tabel2[[#This Row],[BONUS 3]]</f>
        <v>0</v>
      </c>
      <c r="AG123">
        <v>1</v>
      </c>
      <c r="AK123" s="153">
        <f>SUM(Tabel2[[#This Row],[V 4]]*10+Tabel2[[#This Row],[GT 4]])/Tabel2[[#This Row],[AW 4]]*10+Tabel2[[#This Row],[BONUS 4]]</f>
        <v>0</v>
      </c>
      <c r="AM123">
        <v>1</v>
      </c>
      <c r="AQ123" s="153">
        <f>SUM(Tabel2[[#This Row],[V 5]]*10+Tabel2[[#This Row],[GT 5]])/Tabel2[[#This Row],[AW 5]]*10+Tabel2[[#This Row],[BONUS 5]]</f>
        <v>0</v>
      </c>
      <c r="AS123">
        <v>1</v>
      </c>
      <c r="AW123" s="153">
        <f>SUM(Tabel2[[#This Row],[V 6]]*10+Tabel2[[#This Row],[GT 6]])/Tabel2[[#This Row],[AW 6]]*10+Tabel2[[#This Row],[BONUS 6]]</f>
        <v>0</v>
      </c>
      <c r="AY123">
        <v>1</v>
      </c>
      <c r="BC123" s="153">
        <f>SUM(Tabel2[[#This Row],[V 7]]*10+Tabel2[[#This Row],[GT 7]])/Tabel2[[#This Row],[AW 7]]*10+Tabel2[[#This Row],[BONUS 7]]</f>
        <v>0</v>
      </c>
      <c r="BE123">
        <v>1</v>
      </c>
      <c r="BI123" s="153">
        <f>SUM(Tabel2[[#This Row],[V 8]]*10+Tabel2[[#This Row],[GT 8]])/Tabel2[[#This Row],[AW 8]]*10+Tabel2[[#This Row],[BONUS 8]]</f>
        <v>0</v>
      </c>
      <c r="BK123">
        <v>1</v>
      </c>
      <c r="BO123" s="153">
        <f>SUM(Tabel2[[#This Row],[V 9]]*10+Tabel2[[#This Row],[GT 9]])/Tabel2[[#This Row],[AW 9]]*10+Tabel2[[#This Row],[BONUS 9]]</f>
        <v>0</v>
      </c>
      <c r="BQ123">
        <v>1</v>
      </c>
      <c r="BU123" s="23">
        <f>SUM(Tabel2[[#This Row],[V 10]]*10+Tabel2[[#This Row],[GT 10]])/Tabel2[[#This Row],[AW 10]]*10+Tabel2[[#This Row],[BONUS 10]]</f>
        <v>0</v>
      </c>
      <c r="BV1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22">
        <v>0</v>
      </c>
      <c r="BX123" s="22">
        <f>Tabel2[[#This Row],[Diploma]]-Tabel2[[#This Row],[Uitgeschreven]]</f>
        <v>0</v>
      </c>
      <c r="BY123" s="155" t="str">
        <f t="shared" si="15"/>
        <v>geen actie</v>
      </c>
      <c r="CA123" s="150">
        <f>Tabel2[[#This Row],[pnt t/m 2021/22]]</f>
        <v>202</v>
      </c>
      <c r="CB123" s="150">
        <f>Tabel2[[#This Row],[pnt 2022/2023]]</f>
        <v>0</v>
      </c>
      <c r="CC123" s="150">
        <f t="shared" si="14"/>
        <v>202</v>
      </c>
      <c r="CD123" s="150">
        <f>IF(Tabel2[[#This Row],[LPR 1]]&gt;0,1,0)</f>
        <v>0</v>
      </c>
      <c r="CE123" s="150">
        <f>IF(Tabel2[[#This Row],[LPR 2]]&gt;0,1,0)</f>
        <v>0</v>
      </c>
      <c r="CF123" s="150">
        <f>IF(Tabel2[[#This Row],[LPR 3]]&gt;0,1,0)</f>
        <v>0</v>
      </c>
      <c r="CG123" s="150">
        <f>IF(Tabel2[[#This Row],[LPR 4]]&gt;0,1,0)</f>
        <v>0</v>
      </c>
      <c r="CH123" s="150">
        <f>IF(Tabel2[[#This Row],[LPR 5]]&gt;0,1,0)</f>
        <v>0</v>
      </c>
      <c r="CI123" s="150">
        <f>IF(Tabel2[[#This Row],[LPR 6]]&gt;0,1,0)</f>
        <v>0</v>
      </c>
      <c r="CJ123" s="150">
        <f>IF(Tabel2[[#This Row],[LPR 7]]&gt;0,1,0)</f>
        <v>0</v>
      </c>
      <c r="CK123" s="150">
        <f>IF(Tabel2[[#This Row],[LPR 8]]&gt;0,1,0)</f>
        <v>0</v>
      </c>
      <c r="CL123" s="150">
        <f>IF(Tabel2[[#This Row],[LPR 9]]&gt;0,1,0)</f>
        <v>0</v>
      </c>
      <c r="CM123" s="150">
        <f>IF(Tabel2[[#This Row],[LPR 10]]&gt;0,1,0)</f>
        <v>0</v>
      </c>
      <c r="CN123" s="150">
        <f>SUM(Tabel7[[#This Row],[sep]:[jun]])</f>
        <v>0</v>
      </c>
      <c r="CO123" s="22" t="str">
        <f t="shared" si="9"/>
        <v/>
      </c>
      <c r="CP123" s="22" t="str">
        <f t="shared" si="10"/>
        <v/>
      </c>
      <c r="CQ123" s="22" t="str">
        <f t="shared" si="11"/>
        <v/>
      </c>
      <c r="CR123" s="22" t="str">
        <f t="shared" si="12"/>
        <v/>
      </c>
      <c r="CS123" s="22" t="str">
        <f t="shared" si="13"/>
        <v/>
      </c>
    </row>
    <row r="124" spans="1:97" x14ac:dyDescent="0.3">
      <c r="A124" s="22" t="s">
        <v>153</v>
      </c>
      <c r="B124" s="22" t="s">
        <v>157</v>
      </c>
      <c r="D124" s="22" t="s">
        <v>163</v>
      </c>
      <c r="E124" t="s">
        <v>307</v>
      </c>
      <c r="F124" s="22">
        <v>120461</v>
      </c>
      <c r="G124" s="25" t="s">
        <v>213</v>
      </c>
      <c r="H124" s="23">
        <f>Tabel2[[#This Row],[pnt t/m 2021/22]]+Tabel2[[#This Row],[pnt 2022/2023]]</f>
        <v>53.333333333333329</v>
      </c>
      <c r="I124">
        <v>2012</v>
      </c>
      <c r="J124">
        <v>2022</v>
      </c>
      <c r="K124" s="24">
        <f>Tabel2[[#This Row],[ijkdatum]]-Tabel2[[#This Row],[Geboren]]</f>
        <v>10</v>
      </c>
      <c r="L124" s="26">
        <f>Tabel2[[#This Row],[TTL 1]]+Tabel2[[#This Row],[TTL 2]]+Tabel2[[#This Row],[TTL 3]]+Tabel2[[#This Row],[TTL 4]]+Tabel2[[#This Row],[TTL 5]]+Tabel2[[#This Row],[TTL 6]]+Tabel2[[#This Row],[TTL 7]]+Tabel2[[#This Row],[TTL 8]]+Tabel2[[#This Row],[TTL 9]]+Tabel2[[#This Row],[TTL 10]]</f>
        <v>0</v>
      </c>
      <c r="M124" s="153">
        <v>53.333333333333329</v>
      </c>
      <c r="O124">
        <v>1</v>
      </c>
      <c r="S124" s="153">
        <f>SUM(Tabel2[[#This Row],[V 1]]*10+Tabel2[[#This Row],[GT 1]])/Tabel2[[#This Row],[AW 1]]*10+Tabel2[[#This Row],[BONUS 1]]</f>
        <v>0</v>
      </c>
      <c r="U124">
        <v>1</v>
      </c>
      <c r="Y124" s="153">
        <f>SUM(Tabel2[[#This Row],[V 2]]*10+Tabel2[[#This Row],[GT 2]])/Tabel2[[#This Row],[AW 2]]*10+Tabel2[[#This Row],[BONUS 2]]</f>
        <v>0</v>
      </c>
      <c r="AA124">
        <v>1</v>
      </c>
      <c r="AE124" s="153">
        <f>SUM(Tabel2[[#This Row],[V 3]]*10+Tabel2[[#This Row],[GT 3]])/Tabel2[[#This Row],[AW 3]]*10+Tabel2[[#This Row],[BONUS 3]]</f>
        <v>0</v>
      </c>
      <c r="AG124">
        <v>1</v>
      </c>
      <c r="AK124" s="153">
        <f>SUM(Tabel2[[#This Row],[V 4]]*10+Tabel2[[#This Row],[GT 4]])/Tabel2[[#This Row],[AW 4]]*10+Tabel2[[#This Row],[BONUS 4]]</f>
        <v>0</v>
      </c>
      <c r="AM124">
        <v>1</v>
      </c>
      <c r="AQ124" s="153">
        <f>SUM(Tabel2[[#This Row],[V 5]]*10+Tabel2[[#This Row],[GT 5]])/Tabel2[[#This Row],[AW 5]]*10+Tabel2[[#This Row],[BONUS 5]]</f>
        <v>0</v>
      </c>
      <c r="AS124">
        <v>1</v>
      </c>
      <c r="AW124" s="153">
        <f>SUM(Tabel2[[#This Row],[V 6]]*10+Tabel2[[#This Row],[GT 6]])/Tabel2[[#This Row],[AW 6]]*10+Tabel2[[#This Row],[BONUS 6]]</f>
        <v>0</v>
      </c>
      <c r="AY124">
        <v>1</v>
      </c>
      <c r="BC124" s="153">
        <f>SUM(Tabel2[[#This Row],[V 7]]*10+Tabel2[[#This Row],[GT 7]])/Tabel2[[#This Row],[AW 7]]*10+Tabel2[[#This Row],[BONUS 7]]</f>
        <v>0</v>
      </c>
      <c r="BE124">
        <v>1</v>
      </c>
      <c r="BI124" s="153">
        <f>SUM(Tabel2[[#This Row],[V 8]]*10+Tabel2[[#This Row],[GT 8]])/Tabel2[[#This Row],[AW 8]]*10+Tabel2[[#This Row],[BONUS 8]]</f>
        <v>0</v>
      </c>
      <c r="BK124">
        <v>1</v>
      </c>
      <c r="BO124" s="153">
        <f>SUM(Tabel2[[#This Row],[V 9]]*10+Tabel2[[#This Row],[GT 9]])/Tabel2[[#This Row],[AW 9]]*10+Tabel2[[#This Row],[BONUS 9]]</f>
        <v>0</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4" s="22">
        <v>0</v>
      </c>
      <c r="BX124" s="22">
        <f>Tabel2[[#This Row],[Diploma]]-Tabel2[[#This Row],[Uitgeschreven]]</f>
        <v>0</v>
      </c>
      <c r="BY124" s="155" t="str">
        <f t="shared" si="15"/>
        <v>geen actie</v>
      </c>
      <c r="CA124" s="150">
        <f>Tabel2[[#This Row],[pnt t/m 2021/22]]</f>
        <v>53.333333333333329</v>
      </c>
      <c r="CB124" s="150">
        <f>Tabel2[[#This Row],[pnt 2022/2023]]</f>
        <v>0</v>
      </c>
      <c r="CC124" s="150">
        <f t="shared" si="14"/>
        <v>53.333333333333329</v>
      </c>
      <c r="CD124" s="150">
        <f>IF(Tabel2[[#This Row],[LPR 1]]&gt;0,1,0)</f>
        <v>0</v>
      </c>
      <c r="CE124" s="150">
        <f>IF(Tabel2[[#This Row],[LPR 2]]&gt;0,1,0)</f>
        <v>0</v>
      </c>
      <c r="CF124" s="150">
        <f>IF(Tabel2[[#This Row],[LPR 3]]&gt;0,1,0)</f>
        <v>0</v>
      </c>
      <c r="CG124" s="150">
        <f>IF(Tabel2[[#This Row],[LPR 4]]&gt;0,1,0)</f>
        <v>0</v>
      </c>
      <c r="CH124" s="150">
        <f>IF(Tabel2[[#This Row],[LPR 5]]&gt;0,1,0)</f>
        <v>0</v>
      </c>
      <c r="CI124" s="150">
        <f>IF(Tabel2[[#This Row],[LPR 6]]&gt;0,1,0)</f>
        <v>0</v>
      </c>
      <c r="CJ124" s="150">
        <f>IF(Tabel2[[#This Row],[LPR 7]]&gt;0,1,0)</f>
        <v>0</v>
      </c>
      <c r="CK124" s="150">
        <f>IF(Tabel2[[#This Row],[LPR 8]]&gt;0,1,0)</f>
        <v>0</v>
      </c>
      <c r="CL124" s="150">
        <f>IF(Tabel2[[#This Row],[LPR 9]]&gt;0,1,0)</f>
        <v>0</v>
      </c>
      <c r="CM124" s="150">
        <f>IF(Tabel2[[#This Row],[LPR 10]]&gt;0,1,0)</f>
        <v>0</v>
      </c>
      <c r="CN124" s="150">
        <f>SUM(Tabel7[[#This Row],[sep]:[jun]])</f>
        <v>0</v>
      </c>
      <c r="CO124" s="22" t="str">
        <f t="shared" si="9"/>
        <v/>
      </c>
      <c r="CP124" s="22" t="str">
        <f t="shared" si="10"/>
        <v/>
      </c>
      <c r="CQ124" s="22" t="str">
        <f t="shared" si="11"/>
        <v/>
      </c>
      <c r="CR124" s="22" t="str">
        <f t="shared" si="12"/>
        <v/>
      </c>
      <c r="CS124" s="22" t="str">
        <f t="shared" si="13"/>
        <v/>
      </c>
    </row>
    <row r="125" spans="1:97" x14ac:dyDescent="0.3">
      <c r="A125" s="22" t="s">
        <v>156</v>
      </c>
      <c r="B125" s="22" t="s">
        <v>157</v>
      </c>
      <c r="D125" s="22" t="s">
        <v>163</v>
      </c>
      <c r="E125" t="s">
        <v>308</v>
      </c>
      <c r="F125" s="22">
        <v>119760</v>
      </c>
      <c r="G125" s="25" t="s">
        <v>162</v>
      </c>
      <c r="H125" s="23">
        <f>Tabel2[[#This Row],[pnt t/m 2021/22]]+Tabel2[[#This Row],[pnt 2022/2023]]</f>
        <v>100</v>
      </c>
      <c r="I125">
        <v>2008</v>
      </c>
      <c r="J125">
        <v>2022</v>
      </c>
      <c r="K125" s="24">
        <f>Tabel2[[#This Row],[ijkdatum]]-Tabel2[[#This Row],[Geboren]]</f>
        <v>14</v>
      </c>
      <c r="L125" s="26">
        <f>Tabel2[[#This Row],[TTL 1]]+Tabel2[[#This Row],[TTL 2]]+Tabel2[[#This Row],[TTL 3]]+Tabel2[[#This Row],[TTL 4]]+Tabel2[[#This Row],[TTL 5]]+Tabel2[[#This Row],[TTL 6]]+Tabel2[[#This Row],[TTL 7]]+Tabel2[[#This Row],[TTL 8]]+Tabel2[[#This Row],[TTL 9]]+Tabel2[[#This Row],[TTL 10]]</f>
        <v>0</v>
      </c>
      <c r="M125" s="153">
        <v>100</v>
      </c>
      <c r="O125">
        <v>1</v>
      </c>
      <c r="S125" s="153">
        <f>SUM(Tabel2[[#This Row],[V 1]]*10+Tabel2[[#This Row],[GT 1]])/Tabel2[[#This Row],[AW 1]]*10+Tabel2[[#This Row],[BONUS 1]]</f>
        <v>0</v>
      </c>
      <c r="U125">
        <v>1</v>
      </c>
      <c r="Y125" s="153">
        <f>SUM(Tabel2[[#This Row],[V 2]]*10+Tabel2[[#This Row],[GT 2]])/Tabel2[[#This Row],[AW 2]]*10+Tabel2[[#This Row],[BONUS 2]]</f>
        <v>0</v>
      </c>
      <c r="AA125">
        <v>1</v>
      </c>
      <c r="AE125" s="153">
        <f>SUM(Tabel2[[#This Row],[V 3]]*10+Tabel2[[#This Row],[GT 3]])/Tabel2[[#This Row],[AW 3]]*10+Tabel2[[#This Row],[BONUS 3]]</f>
        <v>0</v>
      </c>
      <c r="AG125">
        <v>1</v>
      </c>
      <c r="AK125" s="153">
        <f>SUM(Tabel2[[#This Row],[V 4]]*10+Tabel2[[#This Row],[GT 4]])/Tabel2[[#This Row],[AW 4]]*10+Tabel2[[#This Row],[BONUS 4]]</f>
        <v>0</v>
      </c>
      <c r="AM125">
        <v>1</v>
      </c>
      <c r="AQ125" s="153">
        <f>SUM(Tabel2[[#This Row],[V 5]]*10+Tabel2[[#This Row],[GT 5]])/Tabel2[[#This Row],[AW 5]]*10+Tabel2[[#This Row],[BONUS 5]]</f>
        <v>0</v>
      </c>
      <c r="AS125">
        <v>1</v>
      </c>
      <c r="AW125" s="153">
        <f>SUM(Tabel2[[#This Row],[V 6]]*10+Tabel2[[#This Row],[GT 6]])/Tabel2[[#This Row],[AW 6]]*10+Tabel2[[#This Row],[BONUS 6]]</f>
        <v>0</v>
      </c>
      <c r="AY125">
        <v>1</v>
      </c>
      <c r="BC125" s="153">
        <f>SUM(Tabel2[[#This Row],[V 7]]*10+Tabel2[[#This Row],[GT 7]])/Tabel2[[#This Row],[AW 7]]*10+Tabel2[[#This Row],[BONUS 7]]</f>
        <v>0</v>
      </c>
      <c r="BE125">
        <v>1</v>
      </c>
      <c r="BI125" s="23">
        <f>SUM(Tabel2[[#This Row],[V 8]]*10+Tabel2[[#This Row],[GT 8]])/Tabel2[[#This Row],[AW 8]]*10+Tabel2[[#This Row],[BONUS 8]]</f>
        <v>0</v>
      </c>
      <c r="BK125">
        <v>1</v>
      </c>
      <c r="BO125" s="153">
        <f>SUM(Tabel2[[#This Row],[V 9]]*10+Tabel2[[#This Row],[GT 9]])/Tabel2[[#This Row],[AW 9]]*10+Tabel2[[#This Row],[BONUS 9]]</f>
        <v>0</v>
      </c>
      <c r="BQ125">
        <v>1</v>
      </c>
      <c r="BU125" s="23">
        <f>SUM(Tabel2[[#This Row],[V 10]]*10+Tabel2[[#This Row],[GT 10]])/Tabel2[[#This Row],[AW 10]]*10+Tabel2[[#This Row],[BONUS 10]]</f>
        <v>0</v>
      </c>
      <c r="BV12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5" s="22">
        <v>0</v>
      </c>
      <c r="BX125" s="22">
        <f>Tabel2[[#This Row],[Diploma]]-Tabel2[[#This Row],[Uitgeschreven]]</f>
        <v>0</v>
      </c>
      <c r="BY125" s="155" t="str">
        <f t="shared" si="15"/>
        <v>geen actie</v>
      </c>
      <c r="CA125" s="150">
        <f>Tabel2[[#This Row],[pnt t/m 2021/22]]</f>
        <v>100</v>
      </c>
      <c r="CB125" s="150">
        <f>Tabel2[[#This Row],[pnt 2022/2023]]</f>
        <v>0</v>
      </c>
      <c r="CC125" s="150">
        <f t="shared" si="14"/>
        <v>100</v>
      </c>
      <c r="CD125" s="150">
        <f>IF(Tabel2[[#This Row],[LPR 1]]&gt;0,1,0)</f>
        <v>0</v>
      </c>
      <c r="CE125" s="150">
        <f>IF(Tabel2[[#This Row],[LPR 2]]&gt;0,1,0)</f>
        <v>0</v>
      </c>
      <c r="CF125" s="150">
        <f>IF(Tabel2[[#This Row],[LPR 3]]&gt;0,1,0)</f>
        <v>0</v>
      </c>
      <c r="CG125" s="150">
        <f>IF(Tabel2[[#This Row],[LPR 4]]&gt;0,1,0)</f>
        <v>0</v>
      </c>
      <c r="CH125" s="150">
        <f>IF(Tabel2[[#This Row],[LPR 5]]&gt;0,1,0)</f>
        <v>0</v>
      </c>
      <c r="CI125" s="150">
        <f>IF(Tabel2[[#This Row],[LPR 6]]&gt;0,1,0)</f>
        <v>0</v>
      </c>
      <c r="CJ125" s="150">
        <f>IF(Tabel2[[#This Row],[LPR 7]]&gt;0,1,0)</f>
        <v>0</v>
      </c>
      <c r="CK125" s="150">
        <f>IF(Tabel2[[#This Row],[LPR 8]]&gt;0,1,0)</f>
        <v>0</v>
      </c>
      <c r="CL125" s="150">
        <f>IF(Tabel2[[#This Row],[LPR 9]]&gt;0,1,0)</f>
        <v>0</v>
      </c>
      <c r="CM125" s="150">
        <f>IF(Tabel2[[#This Row],[LPR 10]]&gt;0,1,0)</f>
        <v>0</v>
      </c>
      <c r="CN125" s="150">
        <f>SUM(Tabel7[[#This Row],[sep]:[jun]])</f>
        <v>0</v>
      </c>
      <c r="CO125" s="22" t="str">
        <f t="shared" si="9"/>
        <v/>
      </c>
      <c r="CP125" s="22" t="str">
        <f t="shared" si="10"/>
        <v/>
      </c>
      <c r="CQ125" s="22" t="str">
        <f t="shared" si="11"/>
        <v/>
      </c>
      <c r="CR125" s="22" t="str">
        <f t="shared" si="12"/>
        <v/>
      </c>
      <c r="CS125" s="22" t="str">
        <f t="shared" si="13"/>
        <v/>
      </c>
    </row>
    <row r="126" spans="1:97" x14ac:dyDescent="0.3">
      <c r="A126" s="22" t="s">
        <v>156</v>
      </c>
      <c r="B126" s="22" t="s">
        <v>149</v>
      </c>
      <c r="D126" s="22" t="s">
        <v>150</v>
      </c>
      <c r="E126" t="s">
        <v>309</v>
      </c>
      <c r="F126" s="22">
        <v>117409</v>
      </c>
      <c r="G126" s="25" t="s">
        <v>162</v>
      </c>
      <c r="H126" s="142">
        <f>Tabel2[[#This Row],[pnt t/m 2021/22]]+Tabel2[[#This Row],[pnt 2022/2023]]</f>
        <v>2793.482600732601</v>
      </c>
      <c r="I126">
        <v>2007</v>
      </c>
      <c r="J126">
        <v>2022</v>
      </c>
      <c r="K126" s="24">
        <f>Tabel2[[#This Row],[ijkdatum]]-Tabel2[[#This Row],[Geboren]]</f>
        <v>15</v>
      </c>
      <c r="L126" s="26">
        <f>Tabel2[[#This Row],[TTL 1]]+Tabel2[[#This Row],[TTL 2]]+Tabel2[[#This Row],[TTL 3]]+Tabel2[[#This Row],[TTL 4]]+Tabel2[[#This Row],[TTL 5]]+Tabel2[[#This Row],[TTL 6]]+Tabel2[[#This Row],[TTL 7]]+Tabel2[[#This Row],[TTL 8]]+Tabel2[[#This Row],[TTL 9]]+Tabel2[[#This Row],[TTL 10]]</f>
        <v>359.16666666666663</v>
      </c>
      <c r="M126" s="141">
        <v>2434.3159340659345</v>
      </c>
      <c r="N126">
        <v>5</v>
      </c>
      <c r="O126">
        <v>8</v>
      </c>
      <c r="P126">
        <v>7</v>
      </c>
      <c r="Q126">
        <v>39</v>
      </c>
      <c r="S126" s="23">
        <f>SUM(Tabel2[[#This Row],[V 1]]*10+Tabel2[[#This Row],[GT 1]])/Tabel2[[#This Row],[AW 1]]*10+Tabel2[[#This Row],[BONUS 1]]</f>
        <v>136.25</v>
      </c>
      <c r="T126">
        <v>4</v>
      </c>
      <c r="U126">
        <v>12</v>
      </c>
      <c r="V126">
        <v>6</v>
      </c>
      <c r="W126">
        <v>44</v>
      </c>
      <c r="Y126" s="23">
        <f>SUM(Tabel2[[#This Row],[V 2]]*10+Tabel2[[#This Row],[GT 2]])/Tabel2[[#This Row],[AW 2]]*10+Tabel2[[#This Row],[BONUS 2]]</f>
        <v>86.666666666666657</v>
      </c>
      <c r="Z126">
        <v>5</v>
      </c>
      <c r="AA126">
        <v>8</v>
      </c>
      <c r="AB126">
        <v>7</v>
      </c>
      <c r="AC126">
        <v>39</v>
      </c>
      <c r="AE126" s="23">
        <f>SUM(Tabel2[[#This Row],[V 3]]*10+Tabel2[[#This Row],[GT 3]])/Tabel2[[#This Row],[AW 3]]*10+Tabel2[[#This Row],[BONUS 3]]</f>
        <v>136.25</v>
      </c>
      <c r="AG126">
        <v>1</v>
      </c>
      <c r="AK126" s="23">
        <f>SUM(Tabel2[[#This Row],[V 4]]*10+Tabel2[[#This Row],[GT 4]])/Tabel2[[#This Row],[AW 4]]*10+Tabel2[[#This Row],[BONUS 4]]</f>
        <v>0</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26" s="22">
        <v>2500</v>
      </c>
      <c r="BX126" s="30">
        <f>Tabel2[[#This Row],[Diploma]]-Tabel2[[#This Row],[Uitgeschreven]]</f>
        <v>0</v>
      </c>
      <c r="BY126" s="2" t="str">
        <f t="shared" si="15"/>
        <v>geen actie</v>
      </c>
      <c r="CA126" s="150">
        <f>Tabel2[[#This Row],[pnt t/m 2021/22]]</f>
        <v>2434.3159340659345</v>
      </c>
      <c r="CB126" s="150">
        <f>Tabel2[[#This Row],[pnt 2022/2023]]</f>
        <v>359.16666666666663</v>
      </c>
      <c r="CC126" s="150">
        <f t="shared" si="14"/>
        <v>2793.482600732601</v>
      </c>
      <c r="CD126" s="150">
        <f>IF(Tabel2[[#This Row],[LPR 1]]&gt;0,1,0)</f>
        <v>1</v>
      </c>
      <c r="CE126" s="150">
        <f>IF(Tabel2[[#This Row],[LPR 2]]&gt;0,1,0)</f>
        <v>1</v>
      </c>
      <c r="CF126" s="150">
        <f>IF(Tabel2[[#This Row],[LPR 3]]&gt;0,1,0)</f>
        <v>1</v>
      </c>
      <c r="CG126" s="150">
        <f>IF(Tabel2[[#This Row],[LPR 4]]&gt;0,1,0)</f>
        <v>0</v>
      </c>
      <c r="CH126" s="150">
        <f>IF(Tabel2[[#This Row],[LPR 5]]&gt;0,1,0)</f>
        <v>0</v>
      </c>
      <c r="CI126" s="150">
        <f>IF(Tabel2[[#This Row],[LPR 6]]&gt;0,1,0)</f>
        <v>0</v>
      </c>
      <c r="CJ126" s="150">
        <f>IF(Tabel2[[#This Row],[LPR 7]]&gt;0,1,0)</f>
        <v>0</v>
      </c>
      <c r="CK126" s="150">
        <f>IF(Tabel2[[#This Row],[LPR 8]]&gt;0,1,0)</f>
        <v>0</v>
      </c>
      <c r="CL126" s="150">
        <f>IF(Tabel2[[#This Row],[LPR 9]]&gt;0,1,0)</f>
        <v>0</v>
      </c>
      <c r="CM126" s="150">
        <f>IF(Tabel2[[#This Row],[LPR 10]]&gt;0,1,0)</f>
        <v>0</v>
      </c>
      <c r="CN126" s="150">
        <f>SUM(Tabel7[[#This Row],[sep]:[jun]])</f>
        <v>3</v>
      </c>
      <c r="CO126" s="22" t="str">
        <f t="shared" si="9"/>
        <v/>
      </c>
      <c r="CP126" s="22" t="str">
        <f t="shared" si="10"/>
        <v/>
      </c>
      <c r="CQ126" s="22" t="str">
        <f t="shared" si="11"/>
        <v/>
      </c>
      <c r="CR126" s="22" t="str">
        <f t="shared" si="12"/>
        <v>x</v>
      </c>
      <c r="CS126" s="22" t="str">
        <f t="shared" si="13"/>
        <v/>
      </c>
    </row>
    <row r="127" spans="1:97" x14ac:dyDescent="0.3">
      <c r="A127" s="22" t="s">
        <v>148</v>
      </c>
      <c r="B127" s="22" t="s">
        <v>149</v>
      </c>
      <c r="D127" s="22" t="s">
        <v>163</v>
      </c>
      <c r="E127" t="s">
        <v>310</v>
      </c>
      <c r="F127" s="22">
        <v>119082</v>
      </c>
      <c r="G127" s="25" t="s">
        <v>203</v>
      </c>
      <c r="H127" s="142">
        <f>Tabel2[[#This Row],[pnt t/m 2021/22]]+Tabel2[[#This Row],[pnt 2022/2023]]</f>
        <v>546.83333333333337</v>
      </c>
      <c r="I127">
        <v>2010</v>
      </c>
      <c r="J127">
        <v>2022</v>
      </c>
      <c r="K127" s="24">
        <f>Tabel2[[#This Row],[ijkdatum]]-Tabel2[[#This Row],[Geboren]]</f>
        <v>12</v>
      </c>
      <c r="L127" s="26">
        <f>Tabel2[[#This Row],[TTL 1]]+Tabel2[[#This Row],[TTL 2]]+Tabel2[[#This Row],[TTL 3]]+Tabel2[[#This Row],[TTL 4]]+Tabel2[[#This Row],[TTL 5]]+Tabel2[[#This Row],[TTL 6]]+Tabel2[[#This Row],[TTL 7]]+Tabel2[[#This Row],[TTL 8]]+Tabel2[[#This Row],[TTL 9]]+Tabel2[[#This Row],[TTL 10]]</f>
        <v>0</v>
      </c>
      <c r="M127" s="141">
        <v>546.83333333333337</v>
      </c>
      <c r="O127">
        <v>1</v>
      </c>
      <c r="S127" s="23">
        <f>SUM(Tabel2[[#This Row],[V 1]]*10+Tabel2[[#This Row],[GT 1]])/Tabel2[[#This Row],[AW 1]]*10+Tabel2[[#This Row],[BONUS 1]]</f>
        <v>0</v>
      </c>
      <c r="U127">
        <v>1</v>
      </c>
      <c r="Y127" s="23">
        <f>SUM(Tabel2[[#This Row],[V 2]]*10+Tabel2[[#This Row],[GT 2]])/Tabel2[[#This Row],[AW 2]]*10+Tabel2[[#This Row],[BONUS 2]]</f>
        <v>0</v>
      </c>
      <c r="AA127">
        <v>1</v>
      </c>
      <c r="AE127" s="23">
        <f>SUM(Tabel2[[#This Row],[V 3]]*10+Tabel2[[#This Row],[GT 3]])/Tabel2[[#This Row],[AW 3]]*10+Tabel2[[#This Row],[BONUS 3]]</f>
        <v>0</v>
      </c>
      <c r="AG127">
        <v>1</v>
      </c>
      <c r="AK127" s="23">
        <f>SUM(Tabel2[[#This Row],[V 4]]*10+Tabel2[[#This Row],[GT 4]])/Tabel2[[#This Row],[AW 4]]*10+Tabel2[[#This Row],[BONUS 4]]</f>
        <v>0</v>
      </c>
      <c r="AM127">
        <v>1</v>
      </c>
      <c r="AQ127" s="23">
        <f>SUM(Tabel2[[#This Row],[V 5]]*10+Tabel2[[#This Row],[GT 5]])/Tabel2[[#This Row],[AW 5]]*10+Tabel2[[#This Row],[BONUS 5]]</f>
        <v>0</v>
      </c>
      <c r="AS127">
        <v>1</v>
      </c>
      <c r="AW127" s="23">
        <f>SUM(Tabel2[[#This Row],[V 6]]*10+Tabel2[[#This Row],[GT 6]])/Tabel2[[#This Row],[AW 6]]*10+Tabel2[[#This Row],[BONUS 6]]</f>
        <v>0</v>
      </c>
      <c r="AY127">
        <v>1</v>
      </c>
      <c r="BC127" s="23">
        <f>SUM(Tabel2[[#This Row],[V 7]]*10+Tabel2[[#This Row],[GT 7]])/Tabel2[[#This Row],[AW 7]]*10+Tabel2[[#This Row],[BONUS 7]]</f>
        <v>0</v>
      </c>
      <c r="BE127">
        <v>1</v>
      </c>
      <c r="BI127" s="23">
        <f>SUM(Tabel2[[#This Row],[V 8]]*10+Tabel2[[#This Row],[GT 8]])/Tabel2[[#This Row],[AW 8]]*10+Tabel2[[#This Row],[BONUS 8]]</f>
        <v>0</v>
      </c>
      <c r="BK127">
        <v>1</v>
      </c>
      <c r="BO127" s="23">
        <f>SUM(Tabel2[[#This Row],[V 9]]*10+Tabel2[[#This Row],[GT 9]])/Tabel2[[#This Row],[AW 9]]*10+Tabel2[[#This Row],[BONUS 9]]</f>
        <v>0</v>
      </c>
      <c r="BQ127">
        <v>1</v>
      </c>
      <c r="BU127" s="23">
        <f>SUM(Tabel2[[#This Row],[V 10]]*10+Tabel2[[#This Row],[GT 10]])/Tabel2[[#This Row],[AW 10]]*10+Tabel2[[#This Row],[BONUS 10]]</f>
        <v>0</v>
      </c>
      <c r="BV12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7" s="22">
        <v>500</v>
      </c>
      <c r="BX127" s="30">
        <f>Tabel2[[#This Row],[Diploma]]-Tabel2[[#This Row],[Uitgeschreven]]</f>
        <v>0</v>
      </c>
      <c r="BY127" s="2" t="str">
        <f t="shared" si="15"/>
        <v>geen actie</v>
      </c>
      <c r="CA127" s="150">
        <f>Tabel2[[#This Row],[pnt t/m 2021/22]]</f>
        <v>546.83333333333337</v>
      </c>
      <c r="CB127" s="150">
        <f>Tabel2[[#This Row],[pnt 2022/2023]]</f>
        <v>0</v>
      </c>
      <c r="CC127" s="150">
        <f t="shared" si="14"/>
        <v>546.83333333333337</v>
      </c>
      <c r="CD127" s="150">
        <f>IF(Tabel2[[#This Row],[LPR 1]]&gt;0,1,0)</f>
        <v>0</v>
      </c>
      <c r="CE127" s="150">
        <f>IF(Tabel2[[#This Row],[LPR 2]]&gt;0,1,0)</f>
        <v>0</v>
      </c>
      <c r="CF127" s="150">
        <f>IF(Tabel2[[#This Row],[LPR 3]]&gt;0,1,0)</f>
        <v>0</v>
      </c>
      <c r="CG127" s="150">
        <f>IF(Tabel2[[#This Row],[LPR 4]]&gt;0,1,0)</f>
        <v>0</v>
      </c>
      <c r="CH127" s="150">
        <f>IF(Tabel2[[#This Row],[LPR 5]]&gt;0,1,0)</f>
        <v>0</v>
      </c>
      <c r="CI127" s="150">
        <f>IF(Tabel2[[#This Row],[LPR 6]]&gt;0,1,0)</f>
        <v>0</v>
      </c>
      <c r="CJ127" s="150">
        <f>IF(Tabel2[[#This Row],[LPR 7]]&gt;0,1,0)</f>
        <v>0</v>
      </c>
      <c r="CK127" s="150">
        <f>IF(Tabel2[[#This Row],[LPR 8]]&gt;0,1,0)</f>
        <v>0</v>
      </c>
      <c r="CL127" s="150">
        <f>IF(Tabel2[[#This Row],[LPR 9]]&gt;0,1,0)</f>
        <v>0</v>
      </c>
      <c r="CM127" s="150">
        <f>IF(Tabel2[[#This Row],[LPR 10]]&gt;0,1,0)</f>
        <v>0</v>
      </c>
      <c r="CN127" s="150">
        <f>SUM(Tabel7[[#This Row],[sep]:[jun]])</f>
        <v>0</v>
      </c>
      <c r="CO127" s="22" t="str">
        <f t="shared" si="9"/>
        <v/>
      </c>
      <c r="CP127" s="22" t="str">
        <f t="shared" si="10"/>
        <v/>
      </c>
      <c r="CQ127" s="22" t="str">
        <f t="shared" si="11"/>
        <v/>
      </c>
      <c r="CR127" s="22" t="str">
        <f t="shared" si="12"/>
        <v/>
      </c>
      <c r="CS127" s="22" t="str">
        <f t="shared" si="13"/>
        <v/>
      </c>
    </row>
    <row r="128" spans="1:97" x14ac:dyDescent="0.3">
      <c r="A128" s="22" t="s">
        <v>173</v>
      </c>
      <c r="B128" s="22" t="s">
        <v>149</v>
      </c>
      <c r="D128" s="22" t="s">
        <v>163</v>
      </c>
      <c r="E128" t="s">
        <v>311</v>
      </c>
      <c r="F128" s="22">
        <v>119083</v>
      </c>
      <c r="G128" s="25" t="s">
        <v>203</v>
      </c>
      <c r="H128" s="142">
        <f>Tabel2[[#This Row],[pnt t/m 2021/22]]+Tabel2[[#This Row],[pnt 2022/2023]]</f>
        <v>98.303571428571431</v>
      </c>
      <c r="I128">
        <v>2013</v>
      </c>
      <c r="J128">
        <v>2022</v>
      </c>
      <c r="K128" s="24">
        <f>Tabel2[[#This Row],[ijkdatum]]-Tabel2[[#This Row],[Geboren]]</f>
        <v>9</v>
      </c>
      <c r="L128" s="26">
        <f>Tabel2[[#This Row],[TTL 1]]+Tabel2[[#This Row],[TTL 2]]+Tabel2[[#This Row],[TTL 3]]+Tabel2[[#This Row],[TTL 4]]+Tabel2[[#This Row],[TTL 5]]+Tabel2[[#This Row],[TTL 6]]+Tabel2[[#This Row],[TTL 7]]+Tabel2[[#This Row],[TTL 8]]+Tabel2[[#This Row],[TTL 9]]+Tabel2[[#This Row],[TTL 10]]</f>
        <v>0</v>
      </c>
      <c r="M128" s="141">
        <v>98.303571428571431</v>
      </c>
      <c r="O128">
        <v>1</v>
      </c>
      <c r="S128" s="23">
        <f>SUM(Tabel2[[#This Row],[V 1]]*10+Tabel2[[#This Row],[GT 1]])/Tabel2[[#This Row],[AW 1]]*10+Tabel2[[#This Row],[BONUS 1]]</f>
        <v>0</v>
      </c>
      <c r="U128">
        <v>1</v>
      </c>
      <c r="Y128" s="23">
        <f>SUM(Tabel2[[#This Row],[V 2]]*10+Tabel2[[#This Row],[GT 2]])/Tabel2[[#This Row],[AW 2]]*10+Tabel2[[#This Row],[BONUS 2]]</f>
        <v>0</v>
      </c>
      <c r="AA128">
        <v>1</v>
      </c>
      <c r="AE128" s="23">
        <f>SUM(Tabel2[[#This Row],[V 3]]*10+Tabel2[[#This Row],[GT 3]])/Tabel2[[#This Row],[AW 3]]*10+Tabel2[[#This Row],[BONUS 3]]</f>
        <v>0</v>
      </c>
      <c r="AG128">
        <v>1</v>
      </c>
      <c r="AK128" s="23">
        <f>SUM(Tabel2[[#This Row],[V 4]]*10+Tabel2[[#This Row],[GT 4]])/Tabel2[[#This Row],[AW 4]]*10+Tabel2[[#This Row],[BONUS 4]]</f>
        <v>0</v>
      </c>
      <c r="AM128">
        <v>1</v>
      </c>
      <c r="AQ128" s="23">
        <f>SUM(Tabel2[[#This Row],[V 5]]*10+Tabel2[[#This Row],[GT 5]])/Tabel2[[#This Row],[AW 5]]*10+Tabel2[[#This Row],[BONUS 5]]</f>
        <v>0</v>
      </c>
      <c r="AS128">
        <v>1</v>
      </c>
      <c r="AW128" s="23">
        <f>SUM(Tabel2[[#This Row],[V 6]]*10+Tabel2[[#This Row],[GT 6]])/Tabel2[[#This Row],[AW 6]]*10+Tabel2[[#This Row],[BONUS 6]]</f>
        <v>0</v>
      </c>
      <c r="AY128">
        <v>1</v>
      </c>
      <c r="BC128" s="23">
        <f>SUM(Tabel2[[#This Row],[V 7]]*10+Tabel2[[#This Row],[GT 7]])/Tabel2[[#This Row],[AW 7]]*10+Tabel2[[#This Row],[BONUS 7]]</f>
        <v>0</v>
      </c>
      <c r="BE128">
        <v>1</v>
      </c>
      <c r="BI128" s="23">
        <f>SUM(Tabel2[[#This Row],[V 8]]*10+Tabel2[[#This Row],[GT 8]])/Tabel2[[#This Row],[AW 8]]*10+Tabel2[[#This Row],[BONUS 8]]</f>
        <v>0</v>
      </c>
      <c r="BK128">
        <v>1</v>
      </c>
      <c r="BO128" s="23">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8" s="22">
        <v>0</v>
      </c>
      <c r="BX128" s="30">
        <f>Tabel2[[#This Row],[Diploma]]-Tabel2[[#This Row],[Uitgeschreven]]</f>
        <v>0</v>
      </c>
      <c r="BY128" s="2" t="str">
        <f t="shared" si="15"/>
        <v>geen actie</v>
      </c>
      <c r="CA128" s="150">
        <f>Tabel2[[#This Row],[pnt t/m 2021/22]]</f>
        <v>98.303571428571431</v>
      </c>
      <c r="CB128" s="150">
        <f>Tabel2[[#This Row],[pnt 2022/2023]]</f>
        <v>0</v>
      </c>
      <c r="CC128" s="150">
        <f t="shared" si="14"/>
        <v>98.303571428571431</v>
      </c>
      <c r="CD128" s="150">
        <f>IF(Tabel2[[#This Row],[LPR 1]]&gt;0,1,0)</f>
        <v>0</v>
      </c>
      <c r="CE128" s="150">
        <f>IF(Tabel2[[#This Row],[LPR 2]]&gt;0,1,0)</f>
        <v>0</v>
      </c>
      <c r="CF128" s="150">
        <f>IF(Tabel2[[#This Row],[LPR 3]]&gt;0,1,0)</f>
        <v>0</v>
      </c>
      <c r="CG128" s="150">
        <f>IF(Tabel2[[#This Row],[LPR 4]]&gt;0,1,0)</f>
        <v>0</v>
      </c>
      <c r="CH128" s="150">
        <f>IF(Tabel2[[#This Row],[LPR 5]]&gt;0,1,0)</f>
        <v>0</v>
      </c>
      <c r="CI128" s="150">
        <f>IF(Tabel2[[#This Row],[LPR 6]]&gt;0,1,0)</f>
        <v>0</v>
      </c>
      <c r="CJ128" s="150">
        <f>IF(Tabel2[[#This Row],[LPR 7]]&gt;0,1,0)</f>
        <v>0</v>
      </c>
      <c r="CK128" s="150">
        <f>IF(Tabel2[[#This Row],[LPR 8]]&gt;0,1,0)</f>
        <v>0</v>
      </c>
      <c r="CL128" s="150">
        <f>IF(Tabel2[[#This Row],[LPR 9]]&gt;0,1,0)</f>
        <v>0</v>
      </c>
      <c r="CM128" s="150">
        <f>IF(Tabel2[[#This Row],[LPR 10]]&gt;0,1,0)</f>
        <v>0</v>
      </c>
      <c r="CN128" s="150">
        <f>SUM(Tabel7[[#This Row],[sep]:[jun]])</f>
        <v>0</v>
      </c>
      <c r="CO128" s="22" t="str">
        <f t="shared" si="9"/>
        <v/>
      </c>
      <c r="CP128" s="22" t="str">
        <f t="shared" si="10"/>
        <v/>
      </c>
      <c r="CQ128" s="22" t="str">
        <f t="shared" si="11"/>
        <v/>
      </c>
      <c r="CR128" s="22" t="str">
        <f t="shared" si="12"/>
        <v/>
      </c>
      <c r="CS128" s="22" t="str">
        <f t="shared" si="13"/>
        <v/>
      </c>
    </row>
    <row r="129" spans="1:97" x14ac:dyDescent="0.3">
      <c r="A129" s="22" t="s">
        <v>148</v>
      </c>
      <c r="B129" s="22" t="s">
        <v>149</v>
      </c>
      <c r="D129" s="22" t="s">
        <v>163</v>
      </c>
      <c r="E129" t="s">
        <v>312</v>
      </c>
      <c r="F129" s="22">
        <v>120066</v>
      </c>
      <c r="G129" s="25" t="s">
        <v>240</v>
      </c>
      <c r="H129" s="142">
        <f>Tabel2[[#This Row],[pnt t/m 2021/22]]+Tabel2[[#This Row],[pnt 2022/2023]]</f>
        <v>346.11111111111109</v>
      </c>
      <c r="I129">
        <v>2005</v>
      </c>
      <c r="J129">
        <v>2022</v>
      </c>
      <c r="K129" s="24">
        <f>Tabel2[[#This Row],[ijkdatum]]-Tabel2[[#This Row],[Geboren]]</f>
        <v>17</v>
      </c>
      <c r="L129" s="26">
        <f>Tabel2[[#This Row],[TTL 1]]+Tabel2[[#This Row],[TTL 2]]+Tabel2[[#This Row],[TTL 3]]+Tabel2[[#This Row],[TTL 4]]+Tabel2[[#This Row],[TTL 5]]+Tabel2[[#This Row],[TTL 6]]+Tabel2[[#This Row],[TTL 7]]+Tabel2[[#This Row],[TTL 8]]+Tabel2[[#This Row],[TTL 9]]+Tabel2[[#This Row],[TTL 10]]</f>
        <v>0</v>
      </c>
      <c r="M129" s="141">
        <v>346.11111111111109</v>
      </c>
      <c r="O129">
        <v>1</v>
      </c>
      <c r="S129" s="23">
        <f>SUM(Tabel2[[#This Row],[V 1]]*10+Tabel2[[#This Row],[GT 1]])/Tabel2[[#This Row],[AW 1]]*10+Tabel2[[#This Row],[BONUS 1]]</f>
        <v>0</v>
      </c>
      <c r="U129">
        <v>1</v>
      </c>
      <c r="Y129" s="23">
        <f>SUM(Tabel2[[#This Row],[V 2]]*10+Tabel2[[#This Row],[GT 2]])/Tabel2[[#This Row],[AW 2]]*10+Tabel2[[#This Row],[BONUS 2]]</f>
        <v>0</v>
      </c>
      <c r="AA129">
        <v>1</v>
      </c>
      <c r="AE129" s="23">
        <f>SUM(Tabel2[[#This Row],[V 3]]*10+Tabel2[[#This Row],[GT 3]])/Tabel2[[#This Row],[AW 3]]*10+Tabel2[[#This Row],[BONUS 3]]</f>
        <v>0</v>
      </c>
      <c r="AG129">
        <v>1</v>
      </c>
      <c r="AK129" s="23">
        <f>SUM(Tabel2[[#This Row],[V 4]]*10+Tabel2[[#This Row],[GT 4]])/Tabel2[[#This Row],[AW 4]]*10+Tabel2[[#This Row],[BONUS 4]]</f>
        <v>0</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29" s="22">
        <v>250</v>
      </c>
      <c r="BX129" s="30">
        <f>Tabel2[[#This Row],[Diploma]]-Tabel2[[#This Row],[Uitgeschreven]]</f>
        <v>0</v>
      </c>
      <c r="BY129" s="2" t="str">
        <f t="shared" si="15"/>
        <v>geen actie</v>
      </c>
      <c r="CA129" s="150">
        <f>Tabel2[[#This Row],[pnt t/m 2021/22]]</f>
        <v>346.11111111111109</v>
      </c>
      <c r="CB129" s="150">
        <f>Tabel2[[#This Row],[pnt 2022/2023]]</f>
        <v>0</v>
      </c>
      <c r="CC129" s="150">
        <f t="shared" si="14"/>
        <v>346.11111111111109</v>
      </c>
      <c r="CD129" s="150">
        <f>IF(Tabel2[[#This Row],[LPR 1]]&gt;0,1,0)</f>
        <v>0</v>
      </c>
      <c r="CE129" s="150">
        <f>IF(Tabel2[[#This Row],[LPR 2]]&gt;0,1,0)</f>
        <v>0</v>
      </c>
      <c r="CF129" s="150">
        <f>IF(Tabel2[[#This Row],[LPR 3]]&gt;0,1,0)</f>
        <v>0</v>
      </c>
      <c r="CG129" s="150">
        <f>IF(Tabel2[[#This Row],[LPR 4]]&gt;0,1,0)</f>
        <v>0</v>
      </c>
      <c r="CH129" s="150">
        <f>IF(Tabel2[[#This Row],[LPR 5]]&gt;0,1,0)</f>
        <v>0</v>
      </c>
      <c r="CI129" s="150">
        <f>IF(Tabel2[[#This Row],[LPR 6]]&gt;0,1,0)</f>
        <v>0</v>
      </c>
      <c r="CJ129" s="150">
        <f>IF(Tabel2[[#This Row],[LPR 7]]&gt;0,1,0)</f>
        <v>0</v>
      </c>
      <c r="CK129" s="150">
        <f>IF(Tabel2[[#This Row],[LPR 8]]&gt;0,1,0)</f>
        <v>0</v>
      </c>
      <c r="CL129" s="150">
        <f>IF(Tabel2[[#This Row],[LPR 9]]&gt;0,1,0)</f>
        <v>0</v>
      </c>
      <c r="CM129" s="150">
        <f>IF(Tabel2[[#This Row],[LPR 10]]&gt;0,1,0)</f>
        <v>0</v>
      </c>
      <c r="CN129" s="150">
        <f>SUM(Tabel7[[#This Row],[sep]:[jun]])</f>
        <v>0</v>
      </c>
      <c r="CO129" s="22" t="str">
        <f t="shared" si="9"/>
        <v/>
      </c>
      <c r="CP129" s="22" t="str">
        <f t="shared" si="10"/>
        <v/>
      </c>
      <c r="CQ129" s="22" t="str">
        <f t="shared" si="11"/>
        <v/>
      </c>
      <c r="CR129" s="22" t="str">
        <f t="shared" si="12"/>
        <v/>
      </c>
      <c r="CS129" s="22" t="str">
        <f t="shared" si="13"/>
        <v/>
      </c>
    </row>
    <row r="130" spans="1:97" x14ac:dyDescent="0.3">
      <c r="A130" s="22" t="s">
        <v>190</v>
      </c>
      <c r="B130" s="22" t="s">
        <v>157</v>
      </c>
      <c r="D130" s="22" t="s">
        <v>160</v>
      </c>
      <c r="E130" t="s">
        <v>313</v>
      </c>
      <c r="F130" s="22">
        <v>120212</v>
      </c>
      <c r="G130" s="25" t="s">
        <v>206</v>
      </c>
      <c r="H130" s="142">
        <f>Tabel2[[#This Row],[pnt t/m 2021/22]]+Tabel2[[#This Row],[pnt 2022/2023]]</f>
        <v>118.75</v>
      </c>
      <c r="I130">
        <v>2013</v>
      </c>
      <c r="J130">
        <v>2023</v>
      </c>
      <c r="K130" s="24">
        <f>Tabel2[[#This Row],[ijkdatum]]-Tabel2[[#This Row],[Geboren]]</f>
        <v>10</v>
      </c>
      <c r="L130" s="26">
        <f>Tabel2[[#This Row],[TTL 1]]+Tabel2[[#This Row],[TTL 2]]+Tabel2[[#This Row],[TTL 3]]+Tabel2[[#This Row],[TTL 4]]+Tabel2[[#This Row],[TTL 5]]+Tabel2[[#This Row],[TTL 6]]+Tabel2[[#This Row],[TTL 7]]+Tabel2[[#This Row],[TTL 8]]+Tabel2[[#This Row],[TTL 9]]+Tabel2[[#This Row],[TTL 10]]</f>
        <v>118.75</v>
      </c>
      <c r="M130" s="141"/>
      <c r="O130">
        <v>1</v>
      </c>
      <c r="S130" s="23">
        <f>SUM(Tabel2[[#This Row],[V 1]]*10+Tabel2[[#This Row],[GT 1]])/Tabel2[[#This Row],[AW 1]]*10+Tabel2[[#This Row],[BONUS 1]]</f>
        <v>0</v>
      </c>
      <c r="T130">
        <v>7</v>
      </c>
      <c r="U130">
        <v>12</v>
      </c>
      <c r="V130">
        <v>0</v>
      </c>
      <c r="W130">
        <v>45</v>
      </c>
      <c r="X130">
        <v>100</v>
      </c>
      <c r="Y130" s="23">
        <f>SUM(Tabel2[[#This Row],[V 2]]*10+(Tabel2[[#This Row],[GT 2]]/2))/Tabel2[[#This Row],[AW 2]]*10+Tabel2[[#This Row],[BONUS 2]]</f>
        <v>118.75</v>
      </c>
      <c r="AA130">
        <v>1</v>
      </c>
      <c r="AE130" s="23">
        <f>SUM(Tabel2[[#This Row],[V 3]]*10+Tabel2[[#This Row],[GT 3]])/Tabel2[[#This Row],[AW 3]]*10+Tabel2[[#This Row],[BONUS 3]]</f>
        <v>0</v>
      </c>
      <c r="AG130">
        <v>1</v>
      </c>
      <c r="AK130" s="23">
        <f>SUM(Tabel2[[#This Row],[V 4]]*10+Tabel2[[#This Row],[GT 4]])/Tabel2[[#This Row],[AW 4]]*10+Tabel2[[#This Row],[BONUS 4]]</f>
        <v>0</v>
      </c>
      <c r="AM130">
        <v>1</v>
      </c>
      <c r="AQ130" s="23">
        <f>SUM(Tabel2[[#This Row],[V 5]]*10+Tabel2[[#This Row],[GT 5]])/Tabel2[[#This Row],[AW 5]]*10+Tabel2[[#This Row],[BONUS 5]]</f>
        <v>0</v>
      </c>
      <c r="AS130">
        <v>1</v>
      </c>
      <c r="AW130" s="23">
        <f>SUM(Tabel2[[#This Row],[V 6]]*10+Tabel2[[#This Row],[GT 6]])/Tabel2[[#This Row],[AW 6]]*10+Tabel2[[#This Row],[BONUS 6]]</f>
        <v>0</v>
      </c>
      <c r="AY130">
        <v>1</v>
      </c>
      <c r="BC130" s="23">
        <f>SUM(Tabel2[[#This Row],[V 7]]*10+Tabel2[[#This Row],[GT 7]])/Tabel2[[#This Row],[AW 7]]*10+Tabel2[[#This Row],[BONUS 7]]</f>
        <v>0</v>
      </c>
      <c r="BE130">
        <v>1</v>
      </c>
      <c r="BI130" s="23">
        <f>SUM(Tabel2[[#This Row],[V 8]]*10+Tabel2[[#This Row],[GT 8]])/Tabel2[[#This Row],[AW 8]]*10+Tabel2[[#This Row],[BONUS 8]]</f>
        <v>0</v>
      </c>
      <c r="BK130">
        <v>1</v>
      </c>
      <c r="BO130" s="23">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30">
        <f>Tabel2[[#This Row],[Diploma]]-Tabel2[[#This Row],[Uitgeschreven]]</f>
        <v>0</v>
      </c>
      <c r="BY130" s="2" t="str">
        <f t="shared" si="15"/>
        <v>geen actie</v>
      </c>
      <c r="CA130" s="150">
        <f>Tabel2[[#This Row],[pnt t/m 2021/22]]</f>
        <v>0</v>
      </c>
      <c r="CB130" s="150">
        <f>Tabel2[[#This Row],[pnt 2022/2023]]</f>
        <v>118.75</v>
      </c>
      <c r="CC130" s="150">
        <f t="shared" si="14"/>
        <v>118.75</v>
      </c>
      <c r="CD130" s="150">
        <f>IF(Tabel2[[#This Row],[LPR 1]]&gt;0,1,0)</f>
        <v>0</v>
      </c>
      <c r="CE130" s="150">
        <f>IF(Tabel2[[#This Row],[LPR 2]]&gt;0,1,0)</f>
        <v>1</v>
      </c>
      <c r="CF130" s="150">
        <f>IF(Tabel2[[#This Row],[LPR 3]]&gt;0,1,0)</f>
        <v>0</v>
      </c>
      <c r="CG130" s="150">
        <f>IF(Tabel2[[#This Row],[LPR 4]]&gt;0,1,0)</f>
        <v>0</v>
      </c>
      <c r="CH130" s="150">
        <f>IF(Tabel2[[#This Row],[LPR 5]]&gt;0,1,0)</f>
        <v>0</v>
      </c>
      <c r="CI130" s="150">
        <f>IF(Tabel2[[#This Row],[LPR 6]]&gt;0,1,0)</f>
        <v>0</v>
      </c>
      <c r="CJ130" s="150">
        <f>IF(Tabel2[[#This Row],[LPR 7]]&gt;0,1,0)</f>
        <v>0</v>
      </c>
      <c r="CK130" s="150">
        <f>IF(Tabel2[[#This Row],[LPR 8]]&gt;0,1,0)</f>
        <v>0</v>
      </c>
      <c r="CL130" s="150">
        <f>IF(Tabel2[[#This Row],[LPR 9]]&gt;0,1,0)</f>
        <v>0</v>
      </c>
      <c r="CM130" s="150">
        <f>IF(Tabel2[[#This Row],[LPR 10]]&gt;0,1,0)</f>
        <v>0</v>
      </c>
      <c r="CN130" s="150">
        <f>SUM(Tabel7[[#This Row],[sep]:[jun]])</f>
        <v>1</v>
      </c>
      <c r="CO130" s="22" t="str">
        <f t="shared" si="9"/>
        <v/>
      </c>
      <c r="CP130" s="22" t="str">
        <f t="shared" si="10"/>
        <v/>
      </c>
      <c r="CQ130" s="22" t="str">
        <f t="shared" si="11"/>
        <v/>
      </c>
      <c r="CR130" s="22" t="str">
        <f t="shared" si="12"/>
        <v/>
      </c>
      <c r="CS130" s="22" t="str">
        <f t="shared" si="13"/>
        <v/>
      </c>
    </row>
    <row r="131" spans="1:97" x14ac:dyDescent="0.3">
      <c r="A131" s="22" t="s">
        <v>159</v>
      </c>
      <c r="B131" s="22" t="s">
        <v>149</v>
      </c>
      <c r="D131" s="22" t="s">
        <v>163</v>
      </c>
      <c r="E131" t="s">
        <v>314</v>
      </c>
      <c r="F131" s="22">
        <v>120464</v>
      </c>
      <c r="G131" s="25" t="s">
        <v>167</v>
      </c>
      <c r="H131" s="23">
        <f>Tabel2[[#This Row],[pnt t/m 2021/22]]+Tabel2[[#This Row],[pnt 2022/2023]]</f>
        <v>53.75</v>
      </c>
      <c r="I131">
        <v>2013</v>
      </c>
      <c r="J131">
        <v>2023</v>
      </c>
      <c r="K131" s="24">
        <f>Tabel2[[#This Row],[ijkdatum]]-Tabel2[[#This Row],[Geboren]]</f>
        <v>10</v>
      </c>
      <c r="L131" s="26">
        <f>Tabel2[[#This Row],[TTL 1]]+Tabel2[[#This Row],[TTL 2]]+Tabel2[[#This Row],[TTL 3]]+Tabel2[[#This Row],[TTL 4]]+Tabel2[[#This Row],[TTL 5]]+Tabel2[[#This Row],[TTL 6]]+Tabel2[[#This Row],[TTL 7]]+Tabel2[[#This Row],[TTL 8]]+Tabel2[[#This Row],[TTL 9]]+Tabel2[[#This Row],[TTL 10]]</f>
        <v>0</v>
      </c>
      <c r="M131" s="153">
        <v>53.75</v>
      </c>
      <c r="O131">
        <v>1</v>
      </c>
      <c r="S131" s="153">
        <f>SUM(Tabel2[[#This Row],[V 1]]*10+Tabel2[[#This Row],[GT 1]])/Tabel2[[#This Row],[AW 1]]*10+Tabel2[[#This Row],[BONUS 1]]</f>
        <v>0</v>
      </c>
      <c r="U131">
        <v>1</v>
      </c>
      <c r="Y131" s="23">
        <f>SUM(Tabel2[[#This Row],[V 2]]*10+Tabel2[[#This Row],[GT 2]])/Tabel2[[#This Row],[AW 2]]*10+Tabel2[[#This Row],[BONUS 2]]</f>
        <v>0</v>
      </c>
      <c r="AA131">
        <v>1</v>
      </c>
      <c r="AE131" s="23">
        <f>SUM(Tabel2[[#This Row],[V 3]]*10+Tabel2[[#This Row],[GT 3]])/Tabel2[[#This Row],[AW 3]]*10+Tabel2[[#This Row],[BONUS 3]]</f>
        <v>0</v>
      </c>
      <c r="AG131">
        <v>1</v>
      </c>
      <c r="AK131" s="23">
        <f>SUM(Tabel2[[#This Row],[V 4]]*10+Tabel2[[#This Row],[GT 4]])/Tabel2[[#This Row],[AW 4]]*10+Tabel2[[#This Row],[BONUS 4]]</f>
        <v>0</v>
      </c>
      <c r="AM131">
        <v>1</v>
      </c>
      <c r="AQ131" s="23">
        <f>SUM(Tabel2[[#This Row],[V 5]]*10+Tabel2[[#This Row],[GT 5]])/Tabel2[[#This Row],[AW 5]]*10+Tabel2[[#This Row],[BONUS 5]]</f>
        <v>0</v>
      </c>
      <c r="AS131">
        <v>1</v>
      </c>
      <c r="AW131" s="23">
        <f>SUM(Tabel2[[#This Row],[V 6]]*10+Tabel2[[#This Row],[GT 6]])/Tabel2[[#This Row],[AW 6]]*10+Tabel2[[#This Row],[BONUS 6]]</f>
        <v>0</v>
      </c>
      <c r="AY131">
        <v>1</v>
      </c>
      <c r="BC131" s="23">
        <f>SUM(Tabel2[[#This Row],[V 7]]*10+Tabel2[[#This Row],[GT 7]])/Tabel2[[#This Row],[AW 7]]*10+Tabel2[[#This Row],[BONUS 7]]</f>
        <v>0</v>
      </c>
      <c r="BE131">
        <v>1</v>
      </c>
      <c r="BI131" s="23">
        <f>SUM(Tabel2[[#This Row],[V 8]]*10+Tabel2[[#This Row],[GT 8]])/Tabel2[[#This Row],[AW 8]]*10+Tabel2[[#This Row],[BONUS 8]]</f>
        <v>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1" s="22">
        <v>0</v>
      </c>
      <c r="BX131" s="22">
        <f>Tabel2[[#This Row],[Diploma]]-Tabel2[[#This Row],[Uitgeschreven]]</f>
        <v>0</v>
      </c>
      <c r="BY131" s="155" t="str">
        <f t="shared" si="15"/>
        <v>geen actie</v>
      </c>
      <c r="CA131" s="150">
        <f>Tabel2[[#This Row],[pnt t/m 2021/22]]</f>
        <v>53.75</v>
      </c>
      <c r="CB131" s="150">
        <f>Tabel2[[#This Row],[pnt 2022/2023]]</f>
        <v>0</v>
      </c>
      <c r="CC131" s="150">
        <f t="shared" si="14"/>
        <v>53.75</v>
      </c>
      <c r="CD131" s="150">
        <f>IF(Tabel2[[#This Row],[LPR 1]]&gt;0,1,0)</f>
        <v>0</v>
      </c>
      <c r="CE131" s="150">
        <f>IF(Tabel2[[#This Row],[LPR 2]]&gt;0,1,0)</f>
        <v>0</v>
      </c>
      <c r="CF131" s="150">
        <f>IF(Tabel2[[#This Row],[LPR 3]]&gt;0,1,0)</f>
        <v>0</v>
      </c>
      <c r="CG131" s="150">
        <f>IF(Tabel2[[#This Row],[LPR 4]]&gt;0,1,0)</f>
        <v>0</v>
      </c>
      <c r="CH131" s="150">
        <f>IF(Tabel2[[#This Row],[LPR 5]]&gt;0,1,0)</f>
        <v>0</v>
      </c>
      <c r="CI131" s="150">
        <f>IF(Tabel2[[#This Row],[LPR 6]]&gt;0,1,0)</f>
        <v>0</v>
      </c>
      <c r="CJ131" s="150">
        <f>IF(Tabel2[[#This Row],[LPR 7]]&gt;0,1,0)</f>
        <v>0</v>
      </c>
      <c r="CK131" s="150">
        <f>IF(Tabel2[[#This Row],[LPR 8]]&gt;0,1,0)</f>
        <v>0</v>
      </c>
      <c r="CL131" s="150">
        <f>IF(Tabel2[[#This Row],[LPR 9]]&gt;0,1,0)</f>
        <v>0</v>
      </c>
      <c r="CM131" s="150">
        <f>IF(Tabel2[[#This Row],[LPR 10]]&gt;0,1,0)</f>
        <v>0</v>
      </c>
      <c r="CN131" s="150">
        <f>SUM(Tabel7[[#This Row],[sep]:[jun]])</f>
        <v>0</v>
      </c>
      <c r="CO131" s="22" t="str">
        <f t="shared" si="9"/>
        <v/>
      </c>
      <c r="CP131" s="22" t="str">
        <f t="shared" si="10"/>
        <v/>
      </c>
      <c r="CQ131" s="22" t="str">
        <f t="shared" si="11"/>
        <v/>
      </c>
      <c r="CR131" s="22" t="str">
        <f t="shared" si="12"/>
        <v/>
      </c>
      <c r="CS131" s="22" t="str">
        <f t="shared" si="13"/>
        <v/>
      </c>
    </row>
    <row r="132" spans="1:97" x14ac:dyDescent="0.3">
      <c r="A132" s="22" t="s">
        <v>156</v>
      </c>
      <c r="B132" s="22" t="s">
        <v>149</v>
      </c>
      <c r="D132" s="22" t="s">
        <v>150</v>
      </c>
      <c r="E132" t="s">
        <v>315</v>
      </c>
      <c r="F132" s="22">
        <v>118963</v>
      </c>
      <c r="G132" s="25" t="s">
        <v>201</v>
      </c>
      <c r="H132" s="142">
        <f>Tabel2[[#This Row],[pnt t/m 2021/22]]+Tabel2[[#This Row],[pnt 2022/2023]]</f>
        <v>989.33333333333337</v>
      </c>
      <c r="I132">
        <v>2007</v>
      </c>
      <c r="J132">
        <v>2023</v>
      </c>
      <c r="K132" s="24">
        <f>Tabel2[[#This Row],[ijkdatum]]-Tabel2[[#This Row],[Geboren]]</f>
        <v>16</v>
      </c>
      <c r="L132" s="26">
        <f>Tabel2[[#This Row],[TTL 1]]+Tabel2[[#This Row],[TTL 2]]+Tabel2[[#This Row],[TTL 3]]+Tabel2[[#This Row],[TTL 4]]+Tabel2[[#This Row],[TTL 5]]+Tabel2[[#This Row],[TTL 6]]+Tabel2[[#This Row],[TTL 7]]+Tabel2[[#This Row],[TTL 8]]+Tabel2[[#This Row],[TTL 9]]+Tabel2[[#This Row],[TTL 10]]</f>
        <v>77.5</v>
      </c>
      <c r="M132" s="141">
        <v>911.83333333333337</v>
      </c>
      <c r="N132">
        <v>5</v>
      </c>
      <c r="O132">
        <v>8</v>
      </c>
      <c r="P132">
        <v>1</v>
      </c>
      <c r="Q132">
        <v>21</v>
      </c>
      <c r="S132" s="23">
        <f>SUM(Tabel2[[#This Row],[V 1]]*10+Tabel2[[#This Row],[GT 1]])/Tabel2[[#This Row],[AW 1]]*10+Tabel2[[#This Row],[BONUS 1]]</f>
        <v>38.75</v>
      </c>
      <c r="U132">
        <v>1</v>
      </c>
      <c r="Y132" s="23">
        <f>SUM(Tabel2[[#This Row],[V 2]]*10+Tabel2[[#This Row],[GT 2]])/Tabel2[[#This Row],[AW 2]]*10+Tabel2[[#This Row],[BONUS 2]]</f>
        <v>0</v>
      </c>
      <c r="Z132">
        <v>5</v>
      </c>
      <c r="AA132">
        <v>8</v>
      </c>
      <c r="AB132">
        <v>1</v>
      </c>
      <c r="AC132">
        <v>21</v>
      </c>
      <c r="AE132" s="23">
        <f>SUM(Tabel2[[#This Row],[V 3]]*10+Tabel2[[#This Row],[GT 3]])/Tabel2[[#This Row],[AW 3]]*10+Tabel2[[#This Row],[BONUS 3]]</f>
        <v>38.75</v>
      </c>
      <c r="AG132">
        <v>1</v>
      </c>
      <c r="AK132" s="23">
        <f>SUM(Tabel2[[#This Row],[V 4]]*10+Tabel2[[#This Row],[GT 4]])/Tabel2[[#This Row],[AW 4]]*10+Tabel2[[#This Row],[BONUS 4]]</f>
        <v>0</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32" s="22">
        <v>750</v>
      </c>
      <c r="BX132" s="30">
        <f>Tabel2[[#This Row],[Diploma]]-Tabel2[[#This Row],[Uitgeschreven]]</f>
        <v>0</v>
      </c>
      <c r="BY132" s="2" t="str">
        <f t="shared" si="15"/>
        <v>geen actie</v>
      </c>
      <c r="CA132" s="150">
        <f>Tabel2[[#This Row],[pnt t/m 2021/22]]</f>
        <v>911.83333333333337</v>
      </c>
      <c r="CB132" s="150">
        <f>Tabel2[[#This Row],[pnt 2022/2023]]</f>
        <v>77.5</v>
      </c>
      <c r="CC132" s="150">
        <f t="shared" si="14"/>
        <v>989.33333333333337</v>
      </c>
      <c r="CD132" s="150">
        <f>IF(Tabel2[[#This Row],[LPR 1]]&gt;0,1,0)</f>
        <v>1</v>
      </c>
      <c r="CE132" s="150">
        <f>IF(Tabel2[[#This Row],[LPR 2]]&gt;0,1,0)</f>
        <v>0</v>
      </c>
      <c r="CF132" s="150">
        <f>IF(Tabel2[[#This Row],[LPR 3]]&gt;0,1,0)</f>
        <v>1</v>
      </c>
      <c r="CG132" s="150">
        <f>IF(Tabel2[[#This Row],[LPR 4]]&gt;0,1,0)</f>
        <v>0</v>
      </c>
      <c r="CH132" s="150">
        <f>IF(Tabel2[[#This Row],[LPR 5]]&gt;0,1,0)</f>
        <v>0</v>
      </c>
      <c r="CI132" s="150">
        <f>IF(Tabel2[[#This Row],[LPR 6]]&gt;0,1,0)</f>
        <v>0</v>
      </c>
      <c r="CJ132" s="150">
        <f>IF(Tabel2[[#This Row],[LPR 7]]&gt;0,1,0)</f>
        <v>0</v>
      </c>
      <c r="CK132" s="150">
        <f>IF(Tabel2[[#This Row],[LPR 8]]&gt;0,1,0)</f>
        <v>0</v>
      </c>
      <c r="CL132" s="150">
        <f>IF(Tabel2[[#This Row],[LPR 9]]&gt;0,1,0)</f>
        <v>0</v>
      </c>
      <c r="CM132" s="150">
        <f>IF(Tabel2[[#This Row],[LPR 10]]&gt;0,1,0)</f>
        <v>0</v>
      </c>
      <c r="CN132" s="150">
        <f>SUM(Tabel7[[#This Row],[sep]:[jun]])</f>
        <v>2</v>
      </c>
      <c r="CO132" s="22" t="str">
        <f t="shared" si="9"/>
        <v/>
      </c>
      <c r="CP132" s="22" t="str">
        <f t="shared" si="10"/>
        <v/>
      </c>
      <c r="CQ132" s="22" t="str">
        <f t="shared" si="11"/>
        <v/>
      </c>
      <c r="CR132" s="22" t="str">
        <f t="shared" si="12"/>
        <v/>
      </c>
      <c r="CS132" s="22" t="str">
        <f t="shared" si="13"/>
        <v/>
      </c>
    </row>
    <row r="133" spans="1:97" x14ac:dyDescent="0.3">
      <c r="A133" s="22" t="s">
        <v>153</v>
      </c>
      <c r="B133" s="22" t="s">
        <v>149</v>
      </c>
      <c r="D133" s="22" t="s">
        <v>160</v>
      </c>
      <c r="E133" t="s">
        <v>316</v>
      </c>
      <c r="F133" s="22">
        <v>120282</v>
      </c>
      <c r="G133" s="25" t="s">
        <v>171</v>
      </c>
      <c r="H133" s="142">
        <f>Tabel2[[#This Row],[pnt t/m 2021/22]]+Tabel2[[#This Row],[pnt 2022/2023]]</f>
        <v>387.4532967032967</v>
      </c>
      <c r="I133">
        <v>2015</v>
      </c>
      <c r="J133">
        <v>2023</v>
      </c>
      <c r="K133" s="24">
        <f>Tabel2[[#This Row],[ijkdatum]]-Tabel2[[#This Row],[Geboren]]</f>
        <v>8</v>
      </c>
      <c r="L133" s="26">
        <f>Tabel2[[#This Row],[TTL 1]]+Tabel2[[#This Row],[TTL 2]]+Tabel2[[#This Row],[TTL 3]]+Tabel2[[#This Row],[TTL 4]]+Tabel2[[#This Row],[TTL 5]]+Tabel2[[#This Row],[TTL 6]]+Tabel2[[#This Row],[TTL 7]]+Tabel2[[#This Row],[TTL 8]]+Tabel2[[#This Row],[TTL 9]]+Tabel2[[#This Row],[TTL 10]]</f>
        <v>164.85714285714286</v>
      </c>
      <c r="M133" s="141">
        <v>222.59615384615381</v>
      </c>
      <c r="O133">
        <v>1</v>
      </c>
      <c r="S133" s="23">
        <f>SUM(Tabel2[[#This Row],[V 1]]*10+Tabel2[[#This Row],[GT 1]])/Tabel2[[#This Row],[AW 1]]*10+Tabel2[[#This Row],[BONUS 1]]</f>
        <v>0</v>
      </c>
      <c r="T133">
        <v>7</v>
      </c>
      <c r="U133">
        <v>7</v>
      </c>
      <c r="V133">
        <v>2</v>
      </c>
      <c r="W133">
        <v>24</v>
      </c>
      <c r="Y133" s="23">
        <f>SUM(Tabel2[[#This Row],[V 2]]*10+Tabel2[[#This Row],[GT 2]])/Tabel2[[#This Row],[AW 2]]*10+Tabel2[[#This Row],[BONUS 2]]</f>
        <v>62.857142857142854</v>
      </c>
      <c r="Z133">
        <v>8</v>
      </c>
      <c r="AA133">
        <v>5</v>
      </c>
      <c r="AB133">
        <v>3</v>
      </c>
      <c r="AC133">
        <v>21</v>
      </c>
      <c r="AE133" s="23">
        <f>SUM(Tabel2[[#This Row],[V 3]]*10+Tabel2[[#This Row],[GT 3]])/Tabel2[[#This Row],[AW 3]]*10+Tabel2[[#This Row],[BONUS 3]]</f>
        <v>102</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Y133">
        <v>1</v>
      </c>
      <c r="BC133" s="23">
        <f>SUM(Tabel2[[#This Row],[V 7]]*10+Tabel2[[#This Row],[GT 7]])/Tabel2[[#This Row],[AW 7]]*10+Tabel2[[#This Row],[BONUS 7]]</f>
        <v>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3" s="22">
        <v>250</v>
      </c>
      <c r="BX133" s="30">
        <f>Tabel2[[#This Row],[Diploma]]-Tabel2[[#This Row],[Uitgeschreven]]</f>
        <v>0</v>
      </c>
      <c r="BY133" s="2" t="str">
        <f t="shared" ref="BY133:BY164" si="16">IF(BX133=0,"geen actie",CONCATENATE("diploma uitschrijven: ",BV133," punten"))</f>
        <v>geen actie</v>
      </c>
      <c r="CA133" s="150">
        <f>Tabel2[[#This Row],[pnt t/m 2021/22]]</f>
        <v>222.59615384615381</v>
      </c>
      <c r="CB133" s="150">
        <f>Tabel2[[#This Row],[pnt 2022/2023]]</f>
        <v>164.85714285714286</v>
      </c>
      <c r="CC133" s="150">
        <f t="shared" si="14"/>
        <v>387.4532967032967</v>
      </c>
      <c r="CD133" s="150">
        <f>IF(Tabel2[[#This Row],[LPR 1]]&gt;0,1,0)</f>
        <v>0</v>
      </c>
      <c r="CE133" s="150">
        <f>IF(Tabel2[[#This Row],[LPR 2]]&gt;0,1,0)</f>
        <v>1</v>
      </c>
      <c r="CF133" s="150">
        <f>IF(Tabel2[[#This Row],[LPR 3]]&gt;0,1,0)</f>
        <v>1</v>
      </c>
      <c r="CG133" s="150">
        <f>IF(Tabel2[[#This Row],[LPR 4]]&gt;0,1,0)</f>
        <v>0</v>
      </c>
      <c r="CH133" s="150">
        <f>IF(Tabel2[[#This Row],[LPR 5]]&gt;0,1,0)</f>
        <v>0</v>
      </c>
      <c r="CI133" s="150">
        <f>IF(Tabel2[[#This Row],[LPR 6]]&gt;0,1,0)</f>
        <v>0</v>
      </c>
      <c r="CJ133" s="150">
        <f>IF(Tabel2[[#This Row],[LPR 7]]&gt;0,1,0)</f>
        <v>0</v>
      </c>
      <c r="CK133" s="150">
        <f>IF(Tabel2[[#This Row],[LPR 8]]&gt;0,1,0)</f>
        <v>0</v>
      </c>
      <c r="CL133" s="150">
        <f>IF(Tabel2[[#This Row],[LPR 9]]&gt;0,1,0)</f>
        <v>0</v>
      </c>
      <c r="CM133" s="150">
        <f>IF(Tabel2[[#This Row],[LPR 10]]&gt;0,1,0)</f>
        <v>0</v>
      </c>
      <c r="CN133" s="150">
        <f>SUM(Tabel7[[#This Row],[sep]:[jun]])</f>
        <v>2</v>
      </c>
      <c r="CO133" s="22" t="str">
        <f t="shared" si="9"/>
        <v/>
      </c>
      <c r="CP133" s="22" t="str">
        <f t="shared" si="10"/>
        <v/>
      </c>
      <c r="CQ133" s="22" t="str">
        <f t="shared" si="11"/>
        <v/>
      </c>
      <c r="CR133" s="22" t="str">
        <f t="shared" si="12"/>
        <v/>
      </c>
      <c r="CS133" s="22" t="str">
        <f t="shared" si="13"/>
        <v/>
      </c>
    </row>
    <row r="134" spans="1:97" x14ac:dyDescent="0.3">
      <c r="A134" s="22" t="s">
        <v>159</v>
      </c>
      <c r="B134" s="22" t="s">
        <v>149</v>
      </c>
      <c r="D134" s="22" t="s">
        <v>163</v>
      </c>
      <c r="E134" t="s">
        <v>317</v>
      </c>
      <c r="G134" s="25" t="s">
        <v>179</v>
      </c>
      <c r="H134" s="142">
        <f>Tabel2[[#This Row],[pnt t/m 2021/22]]+Tabel2[[#This Row],[pnt 2022/2023]]</f>
        <v>316.22727272727275</v>
      </c>
      <c r="I134">
        <v>2010</v>
      </c>
      <c r="J134">
        <v>2023</v>
      </c>
      <c r="K134" s="24">
        <f>Tabel2[[#This Row],[ijkdatum]]-Tabel2[[#This Row],[Geboren]]</f>
        <v>13</v>
      </c>
      <c r="L134" s="26">
        <f>Tabel2[[#This Row],[TTL 1]]+Tabel2[[#This Row],[TTL 2]]+Tabel2[[#This Row],[TTL 3]]+Tabel2[[#This Row],[TTL 4]]+Tabel2[[#This Row],[TTL 5]]+Tabel2[[#This Row],[TTL 6]]+Tabel2[[#This Row],[TTL 7]]+Tabel2[[#This Row],[TTL 8]]+Tabel2[[#This Row],[TTL 9]]+Tabel2[[#This Row],[TTL 10]]</f>
        <v>0</v>
      </c>
      <c r="M134" s="141">
        <v>316.22727272727275</v>
      </c>
      <c r="O134">
        <v>1</v>
      </c>
      <c r="S134" s="23">
        <f>SUM(Tabel2[[#This Row],[V 1]]*10+Tabel2[[#This Row],[GT 1]])/Tabel2[[#This Row],[AW 1]]*10+Tabel2[[#This Row],[BONUS 1]]</f>
        <v>0</v>
      </c>
      <c r="U134">
        <v>1</v>
      </c>
      <c r="Y134" s="23">
        <f>SUM(Tabel2[[#This Row],[V 2]]*10+Tabel2[[#This Row],[GT 2]])/Tabel2[[#This Row],[AW 2]]*10+Tabel2[[#This Row],[BONUS 2]]</f>
        <v>0</v>
      </c>
      <c r="AA134">
        <v>1</v>
      </c>
      <c r="AE134" s="23">
        <f>SUM(Tabel2[[#This Row],[V 3]]*10+Tabel2[[#This Row],[GT 3]])/Tabel2[[#This Row],[AW 3]]*10+Tabel2[[#This Row],[BONUS 3]]</f>
        <v>0</v>
      </c>
      <c r="AG134">
        <v>1</v>
      </c>
      <c r="AK134" s="23">
        <f>SUM(Tabel2[[#This Row],[V 4]]*10+Tabel2[[#This Row],[GT 4]])/Tabel2[[#This Row],[AW 4]]*10+Tabel2[[#This Row],[BONUS 4]]</f>
        <v>0</v>
      </c>
      <c r="AM134">
        <v>1</v>
      </c>
      <c r="AQ134" s="23">
        <f>SUM(Tabel2[[#This Row],[V 5]]*10+Tabel2[[#This Row],[GT 5]])/Tabel2[[#This Row],[AW 5]]*10+Tabel2[[#This Row],[BONUS 5]]</f>
        <v>0</v>
      </c>
      <c r="AS134">
        <v>1</v>
      </c>
      <c r="AW134" s="23">
        <f>SUM(Tabel2[[#This Row],[V 6]]*10+Tabel2[[#This Row],[GT 6]])/Tabel2[[#This Row],[AW 6]]*10+Tabel2[[#This Row],[BONUS 6]]</f>
        <v>0</v>
      </c>
      <c r="AY134">
        <v>1</v>
      </c>
      <c r="BC134" s="23">
        <f>SUM(Tabel2[[#This Row],[V 7]]*10+Tabel2[[#This Row],[GT 7]])/Tabel2[[#This Row],[AW 7]]*10+Tabel2[[#This Row],[BONUS 7]]</f>
        <v>0</v>
      </c>
      <c r="BE134">
        <v>1</v>
      </c>
      <c r="BI134" s="23">
        <f>SUM(Tabel2[[#This Row],[V 8]]*10+Tabel2[[#This Row],[GT 8]])/Tabel2[[#This Row],[AW 8]]*10+Tabel2[[#This Row],[BONUS 8]]</f>
        <v>0</v>
      </c>
      <c r="BK134">
        <v>1</v>
      </c>
      <c r="BO134" s="23">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4" s="22">
        <v>250</v>
      </c>
      <c r="BX134" s="30">
        <f>Tabel2[[#This Row],[Diploma]]-Tabel2[[#This Row],[Uitgeschreven]]</f>
        <v>0</v>
      </c>
      <c r="BY134" s="2" t="str">
        <f t="shared" si="16"/>
        <v>geen actie</v>
      </c>
      <c r="CA134" s="150">
        <f>Tabel2[[#This Row],[pnt t/m 2021/22]]</f>
        <v>316.22727272727275</v>
      </c>
      <c r="CB134" s="150">
        <f>Tabel2[[#This Row],[pnt 2022/2023]]</f>
        <v>0</v>
      </c>
      <c r="CC134" s="150">
        <f t="shared" si="14"/>
        <v>316.22727272727275</v>
      </c>
      <c r="CD134" s="150">
        <f>IF(Tabel2[[#This Row],[LPR 1]]&gt;0,1,0)</f>
        <v>0</v>
      </c>
      <c r="CE134" s="150">
        <f>IF(Tabel2[[#This Row],[LPR 2]]&gt;0,1,0)</f>
        <v>0</v>
      </c>
      <c r="CF134" s="150">
        <f>IF(Tabel2[[#This Row],[LPR 3]]&gt;0,1,0)</f>
        <v>0</v>
      </c>
      <c r="CG134" s="150">
        <f>IF(Tabel2[[#This Row],[LPR 4]]&gt;0,1,0)</f>
        <v>0</v>
      </c>
      <c r="CH134" s="150">
        <f>IF(Tabel2[[#This Row],[LPR 5]]&gt;0,1,0)</f>
        <v>0</v>
      </c>
      <c r="CI134" s="150">
        <f>IF(Tabel2[[#This Row],[LPR 6]]&gt;0,1,0)</f>
        <v>0</v>
      </c>
      <c r="CJ134" s="150">
        <f>IF(Tabel2[[#This Row],[LPR 7]]&gt;0,1,0)</f>
        <v>0</v>
      </c>
      <c r="CK134" s="150">
        <f>IF(Tabel2[[#This Row],[LPR 8]]&gt;0,1,0)</f>
        <v>0</v>
      </c>
      <c r="CL134" s="150">
        <f>IF(Tabel2[[#This Row],[LPR 9]]&gt;0,1,0)</f>
        <v>0</v>
      </c>
      <c r="CM134" s="150">
        <f>IF(Tabel2[[#This Row],[LPR 10]]&gt;0,1,0)</f>
        <v>0</v>
      </c>
      <c r="CN134" s="150">
        <f>SUM(Tabel7[[#This Row],[sep]:[jun]])</f>
        <v>0</v>
      </c>
      <c r="CO134" s="22" t="str">
        <f t="shared" ref="CO134:CO197" si="17">IF(AND($CA134&lt;1000,$CC134&gt;1000),"x","")</f>
        <v/>
      </c>
      <c r="CP134" s="22" t="str">
        <f t="shared" ref="CP134:CP197" si="18">IF(AND($CA134&lt;1500,$CC134&gt;1500),"x","")</f>
        <v/>
      </c>
      <c r="CQ134" s="22" t="str">
        <f t="shared" ref="CQ134:CQ197" si="19">IF(AND($CA134&lt;2000,$CC134&gt;2000),"x","")</f>
        <v/>
      </c>
      <c r="CR134" s="22" t="str">
        <f t="shared" ref="CR134:CR197" si="20">IF(AND($CA134&lt;2500,$CC134&gt;2500),"x","")</f>
        <v/>
      </c>
      <c r="CS134" s="22" t="str">
        <f t="shared" ref="CS134:CS197" si="21">IF(AND($CA134&lt;3000,$CC134&gt;3000),"x","")</f>
        <v/>
      </c>
    </row>
    <row r="135" spans="1:97" x14ac:dyDescent="0.3">
      <c r="A135" s="22" t="s">
        <v>156</v>
      </c>
      <c r="B135" s="22" t="s">
        <v>149</v>
      </c>
      <c r="D135" s="22" t="s">
        <v>163</v>
      </c>
      <c r="E135" t="s">
        <v>318</v>
      </c>
      <c r="F135" s="22">
        <v>118092</v>
      </c>
      <c r="G135" s="25" t="s">
        <v>181</v>
      </c>
      <c r="H135" s="142">
        <f>Tabel2[[#This Row],[pnt t/m 2021/22]]+Tabel2[[#This Row],[pnt 2022/2023]]</f>
        <v>452.74603174603175</v>
      </c>
      <c r="I135">
        <v>2008</v>
      </c>
      <c r="J135">
        <v>2023</v>
      </c>
      <c r="K135" s="24">
        <f>Tabel2[[#This Row],[ijkdatum]]-Tabel2[[#This Row],[Geboren]]</f>
        <v>15</v>
      </c>
      <c r="L135" s="26">
        <f>Tabel2[[#This Row],[TTL 1]]+Tabel2[[#This Row],[TTL 2]]+Tabel2[[#This Row],[TTL 3]]+Tabel2[[#This Row],[TTL 4]]+Tabel2[[#This Row],[TTL 5]]+Tabel2[[#This Row],[TTL 6]]+Tabel2[[#This Row],[TTL 7]]+Tabel2[[#This Row],[TTL 8]]+Tabel2[[#This Row],[TTL 9]]+Tabel2[[#This Row],[TTL 10]]</f>
        <v>0</v>
      </c>
      <c r="M135" s="141">
        <v>452.74603174603175</v>
      </c>
      <c r="O135">
        <v>1</v>
      </c>
      <c r="S135" s="2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5" s="22">
        <v>250</v>
      </c>
      <c r="BX135" s="30">
        <f>Tabel2[[#This Row],[Diploma]]-Tabel2[[#This Row],[Uitgeschreven]]</f>
        <v>0</v>
      </c>
      <c r="BY135" s="2" t="str">
        <f t="shared" si="16"/>
        <v>geen actie</v>
      </c>
      <c r="CA135" s="150">
        <f>Tabel2[[#This Row],[pnt t/m 2021/22]]</f>
        <v>452.74603174603175</v>
      </c>
      <c r="CB135" s="150">
        <f>Tabel2[[#This Row],[pnt 2022/2023]]</f>
        <v>0</v>
      </c>
      <c r="CC135" s="150">
        <f t="shared" ref="CC135:CC198" si="22">CA135+CB135</f>
        <v>452.74603174603175</v>
      </c>
      <c r="CD135" s="150">
        <f>IF(Tabel2[[#This Row],[LPR 1]]&gt;0,1,0)</f>
        <v>0</v>
      </c>
      <c r="CE135" s="150">
        <f>IF(Tabel2[[#This Row],[LPR 2]]&gt;0,1,0)</f>
        <v>0</v>
      </c>
      <c r="CF135" s="150">
        <f>IF(Tabel2[[#This Row],[LPR 3]]&gt;0,1,0)</f>
        <v>0</v>
      </c>
      <c r="CG135" s="150">
        <f>IF(Tabel2[[#This Row],[LPR 4]]&gt;0,1,0)</f>
        <v>0</v>
      </c>
      <c r="CH135" s="150">
        <f>IF(Tabel2[[#This Row],[LPR 5]]&gt;0,1,0)</f>
        <v>0</v>
      </c>
      <c r="CI135" s="150">
        <f>IF(Tabel2[[#This Row],[LPR 6]]&gt;0,1,0)</f>
        <v>0</v>
      </c>
      <c r="CJ135" s="150">
        <f>IF(Tabel2[[#This Row],[LPR 7]]&gt;0,1,0)</f>
        <v>0</v>
      </c>
      <c r="CK135" s="150">
        <f>IF(Tabel2[[#This Row],[LPR 8]]&gt;0,1,0)</f>
        <v>0</v>
      </c>
      <c r="CL135" s="150">
        <f>IF(Tabel2[[#This Row],[LPR 9]]&gt;0,1,0)</f>
        <v>0</v>
      </c>
      <c r="CM135" s="150">
        <f>IF(Tabel2[[#This Row],[LPR 10]]&gt;0,1,0)</f>
        <v>0</v>
      </c>
      <c r="CN135" s="150">
        <f>SUM(Tabel7[[#This Row],[sep]:[jun]])</f>
        <v>0</v>
      </c>
      <c r="CO135" s="22" t="str">
        <f t="shared" si="17"/>
        <v/>
      </c>
      <c r="CP135" s="22" t="str">
        <f t="shared" si="18"/>
        <v/>
      </c>
      <c r="CQ135" s="22" t="str">
        <f t="shared" si="19"/>
        <v/>
      </c>
      <c r="CR135" s="22" t="str">
        <f t="shared" si="20"/>
        <v/>
      </c>
      <c r="CS135" s="22" t="str">
        <f t="shared" si="21"/>
        <v/>
      </c>
    </row>
    <row r="136" spans="1:97" x14ac:dyDescent="0.3">
      <c r="A136" s="22" t="s">
        <v>148</v>
      </c>
      <c r="B136" s="22" t="s">
        <v>149</v>
      </c>
      <c r="D136" s="22" t="s">
        <v>163</v>
      </c>
      <c r="E136" t="s">
        <v>319</v>
      </c>
      <c r="F136" s="22">
        <v>119716</v>
      </c>
      <c r="G136" s="25" t="s">
        <v>198</v>
      </c>
      <c r="H136" s="142">
        <f>Tabel2[[#This Row],[pnt t/m 2021/22]]+Tabel2[[#This Row],[pnt 2022/2023]]</f>
        <v>219</v>
      </c>
      <c r="I136">
        <v>2006</v>
      </c>
      <c r="J136">
        <v>2023</v>
      </c>
      <c r="K136" s="24">
        <f>Tabel2[[#This Row],[ijkdatum]]-Tabel2[[#This Row],[Geboren]]</f>
        <v>17</v>
      </c>
      <c r="L136" s="26">
        <f>Tabel2[[#This Row],[TTL 1]]+Tabel2[[#This Row],[TTL 2]]+Tabel2[[#This Row],[TTL 3]]+Tabel2[[#This Row],[TTL 4]]+Tabel2[[#This Row],[TTL 5]]+Tabel2[[#This Row],[TTL 6]]+Tabel2[[#This Row],[TTL 7]]+Tabel2[[#This Row],[TTL 8]]+Tabel2[[#This Row],[TTL 9]]+Tabel2[[#This Row],[TTL 10]]</f>
        <v>0</v>
      </c>
      <c r="M136" s="141">
        <v>219</v>
      </c>
      <c r="O136">
        <v>1</v>
      </c>
      <c r="S136" s="23">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G136">
        <v>1</v>
      </c>
      <c r="AK136" s="23">
        <f>SUM(Tabel2[[#This Row],[V 4]]*10+Tabel2[[#This Row],[GT 4]])/Tabel2[[#This Row],[AW 4]]*10+Tabel2[[#This Row],[BONUS 4]]</f>
        <v>0</v>
      </c>
      <c r="AM136">
        <v>1</v>
      </c>
      <c r="AQ136" s="23">
        <f>SUM(Tabel2[[#This Row],[V 5]]*10+Tabel2[[#This Row],[GT 5]])/Tabel2[[#This Row],[AW 5]]*10+Tabel2[[#This Row],[BONUS 5]]</f>
        <v>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2">
        <v>0</v>
      </c>
      <c r="BX136" s="30">
        <f>Tabel2[[#This Row],[Diploma]]-Tabel2[[#This Row],[Uitgeschreven]]</f>
        <v>0</v>
      </c>
      <c r="BY136" s="2" t="str">
        <f t="shared" si="16"/>
        <v>geen actie</v>
      </c>
      <c r="CA136" s="150">
        <f>Tabel2[[#This Row],[pnt t/m 2021/22]]</f>
        <v>219</v>
      </c>
      <c r="CB136" s="150">
        <f>Tabel2[[#This Row],[pnt 2022/2023]]</f>
        <v>0</v>
      </c>
      <c r="CC136" s="150">
        <f t="shared" si="22"/>
        <v>219</v>
      </c>
      <c r="CD136" s="150">
        <f>IF(Tabel2[[#This Row],[LPR 1]]&gt;0,1,0)</f>
        <v>0</v>
      </c>
      <c r="CE136" s="150">
        <f>IF(Tabel2[[#This Row],[LPR 2]]&gt;0,1,0)</f>
        <v>0</v>
      </c>
      <c r="CF136" s="150">
        <f>IF(Tabel2[[#This Row],[LPR 3]]&gt;0,1,0)</f>
        <v>0</v>
      </c>
      <c r="CG136" s="150">
        <f>IF(Tabel2[[#This Row],[LPR 4]]&gt;0,1,0)</f>
        <v>0</v>
      </c>
      <c r="CH136" s="150">
        <f>IF(Tabel2[[#This Row],[LPR 5]]&gt;0,1,0)</f>
        <v>0</v>
      </c>
      <c r="CI136" s="150">
        <f>IF(Tabel2[[#This Row],[LPR 6]]&gt;0,1,0)</f>
        <v>0</v>
      </c>
      <c r="CJ136" s="150">
        <f>IF(Tabel2[[#This Row],[LPR 7]]&gt;0,1,0)</f>
        <v>0</v>
      </c>
      <c r="CK136" s="150">
        <f>IF(Tabel2[[#This Row],[LPR 8]]&gt;0,1,0)</f>
        <v>0</v>
      </c>
      <c r="CL136" s="150">
        <f>IF(Tabel2[[#This Row],[LPR 9]]&gt;0,1,0)</f>
        <v>0</v>
      </c>
      <c r="CM136" s="150">
        <f>IF(Tabel2[[#This Row],[LPR 10]]&gt;0,1,0)</f>
        <v>0</v>
      </c>
      <c r="CN136" s="150">
        <f>SUM(Tabel7[[#This Row],[sep]:[jun]])</f>
        <v>0</v>
      </c>
      <c r="CO136" s="22" t="str">
        <f t="shared" si="17"/>
        <v/>
      </c>
      <c r="CP136" s="22" t="str">
        <f t="shared" si="18"/>
        <v/>
      </c>
      <c r="CQ136" s="22" t="str">
        <f t="shared" si="19"/>
        <v/>
      </c>
      <c r="CR136" s="22" t="str">
        <f t="shared" si="20"/>
        <v/>
      </c>
      <c r="CS136" s="22" t="str">
        <f t="shared" si="21"/>
        <v/>
      </c>
    </row>
    <row r="137" spans="1:97" x14ac:dyDescent="0.3">
      <c r="A137" s="22" t="s">
        <v>156</v>
      </c>
      <c r="B137" s="22" t="s">
        <v>149</v>
      </c>
      <c r="D137" s="22" t="s">
        <v>163</v>
      </c>
      <c r="E137" t="s">
        <v>320</v>
      </c>
      <c r="F137" s="22">
        <v>117558</v>
      </c>
      <c r="G137" s="25" t="s">
        <v>171</v>
      </c>
      <c r="H137" s="142">
        <f>Tabel2[[#This Row],[pnt t/m 2021/22]]+Tabel2[[#This Row],[pnt 2022/2023]]</f>
        <v>2492.9675324675304</v>
      </c>
      <c r="I137">
        <v>2006</v>
      </c>
      <c r="J137">
        <v>2023</v>
      </c>
      <c r="K137" s="24">
        <f>Tabel2[[#This Row],[ijkdatum]]-Tabel2[[#This Row],[Geboren]]</f>
        <v>17</v>
      </c>
      <c r="L137" s="26">
        <f>Tabel2[[#This Row],[TTL 1]]+Tabel2[[#This Row],[TTL 2]]+Tabel2[[#This Row],[TTL 3]]+Tabel2[[#This Row],[TTL 4]]+Tabel2[[#This Row],[TTL 5]]+Tabel2[[#This Row],[TTL 6]]+Tabel2[[#This Row],[TTL 7]]+Tabel2[[#This Row],[TTL 8]]+Tabel2[[#This Row],[TTL 9]]+Tabel2[[#This Row],[TTL 10]]</f>
        <v>0</v>
      </c>
      <c r="M137" s="141">
        <v>2492.9675324675304</v>
      </c>
      <c r="O137">
        <v>1</v>
      </c>
      <c r="S137" s="23">
        <f>SUM(Tabel2[[#This Row],[V 1]]*10+Tabel2[[#This Row],[GT 1]])/Tabel2[[#This Row],[AW 1]]*10+Tabel2[[#This Row],[BONUS 1]]</f>
        <v>0</v>
      </c>
      <c r="U137">
        <v>1</v>
      </c>
      <c r="Y137" s="23">
        <f>SUM(Tabel2[[#This Row],[V 2]]*10+Tabel2[[#This Row],[GT 2]])/Tabel2[[#This Row],[AW 2]]*10+Tabel2[[#This Row],[BONUS 2]]</f>
        <v>0</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7" s="22">
        <v>2000</v>
      </c>
      <c r="BX137" s="30">
        <f>Tabel2[[#This Row],[Diploma]]-Tabel2[[#This Row],[Uitgeschreven]]</f>
        <v>0</v>
      </c>
      <c r="BY137" s="2" t="str">
        <f t="shared" si="16"/>
        <v>geen actie</v>
      </c>
      <c r="CA137" s="150">
        <f>Tabel2[[#This Row],[pnt t/m 2021/22]]</f>
        <v>2492.9675324675304</v>
      </c>
      <c r="CB137" s="150">
        <f>Tabel2[[#This Row],[pnt 2022/2023]]</f>
        <v>0</v>
      </c>
      <c r="CC137" s="150">
        <f t="shared" si="22"/>
        <v>2492.9675324675304</v>
      </c>
      <c r="CD137" s="150">
        <f>IF(Tabel2[[#This Row],[LPR 1]]&gt;0,1,0)</f>
        <v>0</v>
      </c>
      <c r="CE137" s="150">
        <f>IF(Tabel2[[#This Row],[LPR 2]]&gt;0,1,0)</f>
        <v>0</v>
      </c>
      <c r="CF137" s="150">
        <f>IF(Tabel2[[#This Row],[LPR 3]]&gt;0,1,0)</f>
        <v>0</v>
      </c>
      <c r="CG137" s="150">
        <f>IF(Tabel2[[#This Row],[LPR 4]]&gt;0,1,0)</f>
        <v>0</v>
      </c>
      <c r="CH137" s="150">
        <f>IF(Tabel2[[#This Row],[LPR 5]]&gt;0,1,0)</f>
        <v>0</v>
      </c>
      <c r="CI137" s="150">
        <f>IF(Tabel2[[#This Row],[LPR 6]]&gt;0,1,0)</f>
        <v>0</v>
      </c>
      <c r="CJ137" s="150">
        <f>IF(Tabel2[[#This Row],[LPR 7]]&gt;0,1,0)</f>
        <v>0</v>
      </c>
      <c r="CK137" s="150">
        <f>IF(Tabel2[[#This Row],[LPR 8]]&gt;0,1,0)</f>
        <v>0</v>
      </c>
      <c r="CL137" s="150">
        <f>IF(Tabel2[[#This Row],[LPR 9]]&gt;0,1,0)</f>
        <v>0</v>
      </c>
      <c r="CM137" s="150">
        <f>IF(Tabel2[[#This Row],[LPR 10]]&gt;0,1,0)</f>
        <v>0</v>
      </c>
      <c r="CN137" s="150">
        <f>SUM(Tabel7[[#This Row],[sep]:[jun]])</f>
        <v>0</v>
      </c>
      <c r="CO137" s="22" t="str">
        <f t="shared" si="17"/>
        <v/>
      </c>
      <c r="CP137" s="22" t="str">
        <f t="shared" si="18"/>
        <v/>
      </c>
      <c r="CQ137" s="22" t="str">
        <f t="shared" si="19"/>
        <v/>
      </c>
      <c r="CR137" s="22" t="str">
        <f t="shared" si="20"/>
        <v/>
      </c>
      <c r="CS137" s="22" t="str">
        <f t="shared" si="21"/>
        <v/>
      </c>
    </row>
    <row r="138" spans="1:97" x14ac:dyDescent="0.3">
      <c r="A138" s="22" t="s">
        <v>156</v>
      </c>
      <c r="B138" s="22" t="s">
        <v>149</v>
      </c>
      <c r="D138" s="22" t="s">
        <v>163</v>
      </c>
      <c r="E138" t="s">
        <v>321</v>
      </c>
      <c r="F138" s="22">
        <v>119644</v>
      </c>
      <c r="G138" s="25" t="s">
        <v>185</v>
      </c>
      <c r="H138" s="23">
        <f>Tabel2[[#This Row],[pnt t/m 2021/22]]+Tabel2[[#This Row],[pnt 2022/2023]]</f>
        <v>261.23809523809524</v>
      </c>
      <c r="I138">
        <v>2006</v>
      </c>
      <c r="J138">
        <v>2023</v>
      </c>
      <c r="K138" s="24">
        <f>Tabel2[[#This Row],[ijkdatum]]-Tabel2[[#This Row],[Geboren]]</f>
        <v>17</v>
      </c>
      <c r="L138" s="26">
        <f>Tabel2[[#This Row],[TTL 1]]+Tabel2[[#This Row],[TTL 2]]+Tabel2[[#This Row],[TTL 3]]+Tabel2[[#This Row],[TTL 4]]+Tabel2[[#This Row],[TTL 5]]+Tabel2[[#This Row],[TTL 6]]+Tabel2[[#This Row],[TTL 7]]+Tabel2[[#This Row],[TTL 8]]+Tabel2[[#This Row],[TTL 9]]+Tabel2[[#This Row],[TTL 10]]</f>
        <v>0</v>
      </c>
      <c r="M138" s="153">
        <v>261.23809523809524</v>
      </c>
      <c r="O138">
        <v>1</v>
      </c>
      <c r="S138" s="153">
        <f>SUM(Tabel2[[#This Row],[V 1]]*10+Tabel2[[#This Row],[GT 1]])/Tabel2[[#This Row],[AW 1]]*10+Tabel2[[#This Row],[BONUS 1]]</f>
        <v>0</v>
      </c>
      <c r="U138">
        <v>1</v>
      </c>
      <c r="Y138" s="153">
        <f>SUM(Tabel2[[#This Row],[V 2]]*10+Tabel2[[#This Row],[GT 2]])/Tabel2[[#This Row],[AW 2]]*10+Tabel2[[#This Row],[BONUS 2]]</f>
        <v>0</v>
      </c>
      <c r="AA138">
        <v>1</v>
      </c>
      <c r="AE138" s="153">
        <f>SUM(Tabel2[[#This Row],[V 3]]*10+Tabel2[[#This Row],[GT 3]])/Tabel2[[#This Row],[AW 3]]*10+Tabel2[[#This Row],[BONUS 3]]</f>
        <v>0</v>
      </c>
      <c r="AG138">
        <v>1</v>
      </c>
      <c r="AK138" s="153">
        <f>SUM(Tabel2[[#This Row],[V 4]]*10+Tabel2[[#This Row],[GT 4]])/Tabel2[[#This Row],[AW 4]]*10+Tabel2[[#This Row],[BONUS 4]]</f>
        <v>0</v>
      </c>
      <c r="AM138">
        <v>1</v>
      </c>
      <c r="AQ138" s="153">
        <f>SUM(Tabel2[[#This Row],[V 5]]*10+Tabel2[[#This Row],[GT 5]])/Tabel2[[#This Row],[AW 5]]*10+Tabel2[[#This Row],[BONUS 5]]</f>
        <v>0</v>
      </c>
      <c r="AS138">
        <v>1</v>
      </c>
      <c r="AW138" s="153">
        <f>SUM(Tabel2[[#This Row],[V 6]]*10+Tabel2[[#This Row],[GT 6]])/Tabel2[[#This Row],[AW 6]]*10+Tabel2[[#This Row],[BONUS 6]]</f>
        <v>0</v>
      </c>
      <c r="AY138">
        <v>1</v>
      </c>
      <c r="BC138" s="23">
        <f>SUM(Tabel2[[#This Row],[V 7]]*10+Tabel2[[#This Row],[GT 7]])/Tabel2[[#This Row],[AW 7]]*10+Tabel2[[#This Row],[BONUS 7]]</f>
        <v>0</v>
      </c>
      <c r="BE138">
        <v>1</v>
      </c>
      <c r="BI138" s="153">
        <f>SUM(Tabel2[[#This Row],[V 8]]*10+Tabel2[[#This Row],[GT 8]])/Tabel2[[#This Row],[AW 8]]*10+Tabel2[[#This Row],[BONUS 8]]</f>
        <v>0</v>
      </c>
      <c r="BK138">
        <v>1</v>
      </c>
      <c r="BO138" s="15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8" s="22">
        <v>250</v>
      </c>
      <c r="BX138" s="22">
        <f>Tabel2[[#This Row],[Diploma]]-Tabel2[[#This Row],[Uitgeschreven]]</f>
        <v>0</v>
      </c>
      <c r="BY138" s="155" t="str">
        <f t="shared" si="16"/>
        <v>geen actie</v>
      </c>
      <c r="CA138" s="150">
        <f>Tabel2[[#This Row],[pnt t/m 2021/22]]</f>
        <v>261.23809523809524</v>
      </c>
      <c r="CB138" s="150">
        <f>Tabel2[[#This Row],[pnt 2022/2023]]</f>
        <v>0</v>
      </c>
      <c r="CC138" s="150">
        <f t="shared" si="22"/>
        <v>261.23809523809524</v>
      </c>
      <c r="CD138" s="150">
        <f>IF(Tabel2[[#This Row],[LPR 1]]&gt;0,1,0)</f>
        <v>0</v>
      </c>
      <c r="CE138" s="150">
        <f>IF(Tabel2[[#This Row],[LPR 2]]&gt;0,1,0)</f>
        <v>0</v>
      </c>
      <c r="CF138" s="150">
        <f>IF(Tabel2[[#This Row],[LPR 3]]&gt;0,1,0)</f>
        <v>0</v>
      </c>
      <c r="CG138" s="150">
        <f>IF(Tabel2[[#This Row],[LPR 4]]&gt;0,1,0)</f>
        <v>0</v>
      </c>
      <c r="CH138" s="150">
        <f>IF(Tabel2[[#This Row],[LPR 5]]&gt;0,1,0)</f>
        <v>0</v>
      </c>
      <c r="CI138" s="150">
        <f>IF(Tabel2[[#This Row],[LPR 6]]&gt;0,1,0)</f>
        <v>0</v>
      </c>
      <c r="CJ138" s="150">
        <f>IF(Tabel2[[#This Row],[LPR 7]]&gt;0,1,0)</f>
        <v>0</v>
      </c>
      <c r="CK138" s="150">
        <f>IF(Tabel2[[#This Row],[LPR 8]]&gt;0,1,0)</f>
        <v>0</v>
      </c>
      <c r="CL138" s="150">
        <f>IF(Tabel2[[#This Row],[LPR 9]]&gt;0,1,0)</f>
        <v>0</v>
      </c>
      <c r="CM138" s="150">
        <f>IF(Tabel2[[#This Row],[LPR 10]]&gt;0,1,0)</f>
        <v>0</v>
      </c>
      <c r="CN138" s="150">
        <f>SUM(Tabel7[[#This Row],[sep]:[jun]])</f>
        <v>0</v>
      </c>
      <c r="CO138" s="22" t="str">
        <f t="shared" si="17"/>
        <v/>
      </c>
      <c r="CP138" s="22" t="str">
        <f t="shared" si="18"/>
        <v/>
      </c>
      <c r="CQ138" s="22" t="str">
        <f t="shared" si="19"/>
        <v/>
      </c>
      <c r="CR138" s="22" t="str">
        <f t="shared" si="20"/>
        <v/>
      </c>
      <c r="CS138" s="22" t="str">
        <f t="shared" si="21"/>
        <v/>
      </c>
    </row>
    <row r="139" spans="1:97" x14ac:dyDescent="0.3">
      <c r="A139" s="22" t="s">
        <v>173</v>
      </c>
      <c r="B139" s="22" t="s">
        <v>149</v>
      </c>
      <c r="D139" s="22" t="s">
        <v>163</v>
      </c>
      <c r="E139" t="s">
        <v>322</v>
      </c>
      <c r="F139" s="22">
        <v>120268</v>
      </c>
      <c r="G139" s="25" t="s">
        <v>152</v>
      </c>
      <c r="H139" s="23">
        <f>Tabel2[[#This Row],[pnt t/m 2021/22]]+Tabel2[[#This Row],[pnt 2022/2023]]</f>
        <v>10.158730158730158</v>
      </c>
      <c r="I139">
        <v>2013</v>
      </c>
      <c r="J139">
        <v>2023</v>
      </c>
      <c r="K139" s="24">
        <f>Tabel2[[#This Row],[ijkdatum]]-Tabel2[[#This Row],[Geboren]]</f>
        <v>10</v>
      </c>
      <c r="L139" s="26">
        <f>Tabel2[[#This Row],[TTL 1]]+Tabel2[[#This Row],[TTL 2]]+Tabel2[[#This Row],[TTL 3]]+Tabel2[[#This Row],[TTL 4]]+Tabel2[[#This Row],[TTL 5]]+Tabel2[[#This Row],[TTL 6]]+Tabel2[[#This Row],[TTL 7]]+Tabel2[[#This Row],[TTL 8]]+Tabel2[[#This Row],[TTL 9]]+Tabel2[[#This Row],[TTL 10]]</f>
        <v>0</v>
      </c>
      <c r="M139" s="153">
        <v>10.158730158730158</v>
      </c>
      <c r="O139">
        <v>1</v>
      </c>
      <c r="S139" s="153">
        <f>SUM(Tabel2[[#This Row],[V 1]]*10+Tabel2[[#This Row],[GT 1]])/Tabel2[[#This Row],[AW 1]]*10+Tabel2[[#This Row],[BONUS 1]]</f>
        <v>0</v>
      </c>
      <c r="U139">
        <v>1</v>
      </c>
      <c r="Y139" s="23">
        <f>SUM(Tabel2[[#This Row],[V 2]]*10+Tabel2[[#This Row],[GT 2]])/Tabel2[[#This Row],[AW 2]]*10+Tabel2[[#This Row],[BONUS 2]]</f>
        <v>0</v>
      </c>
      <c r="AA139">
        <v>1</v>
      </c>
      <c r="AE139" s="23">
        <f>SUM(Tabel2[[#This Row],[V 3]]*10+Tabel2[[#This Row],[GT 3]])/Tabel2[[#This Row],[AW 3]]*10+Tabel2[[#This Row],[BONUS 3]]</f>
        <v>0</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9" s="22">
        <v>0</v>
      </c>
      <c r="BX139" s="22">
        <f>Tabel2[[#This Row],[Diploma]]-Tabel2[[#This Row],[Uitgeschreven]]</f>
        <v>0</v>
      </c>
      <c r="BY139" s="155" t="str">
        <f t="shared" si="16"/>
        <v>geen actie</v>
      </c>
      <c r="CA139" s="150">
        <f>Tabel2[[#This Row],[pnt t/m 2021/22]]</f>
        <v>10.158730158730158</v>
      </c>
      <c r="CB139" s="150">
        <f>Tabel2[[#This Row],[pnt 2022/2023]]</f>
        <v>0</v>
      </c>
      <c r="CC139" s="150">
        <f t="shared" si="22"/>
        <v>10.158730158730158</v>
      </c>
      <c r="CD139" s="150">
        <f>IF(Tabel2[[#This Row],[LPR 1]]&gt;0,1,0)</f>
        <v>0</v>
      </c>
      <c r="CE139" s="150">
        <f>IF(Tabel2[[#This Row],[LPR 2]]&gt;0,1,0)</f>
        <v>0</v>
      </c>
      <c r="CF139" s="150">
        <f>IF(Tabel2[[#This Row],[LPR 3]]&gt;0,1,0)</f>
        <v>0</v>
      </c>
      <c r="CG139" s="150">
        <f>IF(Tabel2[[#This Row],[LPR 4]]&gt;0,1,0)</f>
        <v>0</v>
      </c>
      <c r="CH139" s="150">
        <f>IF(Tabel2[[#This Row],[LPR 5]]&gt;0,1,0)</f>
        <v>0</v>
      </c>
      <c r="CI139" s="150">
        <f>IF(Tabel2[[#This Row],[LPR 6]]&gt;0,1,0)</f>
        <v>0</v>
      </c>
      <c r="CJ139" s="150">
        <f>IF(Tabel2[[#This Row],[LPR 7]]&gt;0,1,0)</f>
        <v>0</v>
      </c>
      <c r="CK139" s="150">
        <f>IF(Tabel2[[#This Row],[LPR 8]]&gt;0,1,0)</f>
        <v>0</v>
      </c>
      <c r="CL139" s="150">
        <f>IF(Tabel2[[#This Row],[LPR 9]]&gt;0,1,0)</f>
        <v>0</v>
      </c>
      <c r="CM139" s="150">
        <f>IF(Tabel2[[#This Row],[LPR 10]]&gt;0,1,0)</f>
        <v>0</v>
      </c>
      <c r="CN139" s="150">
        <f>SUM(Tabel7[[#This Row],[sep]:[jun]])</f>
        <v>0</v>
      </c>
      <c r="CO139" s="22" t="str">
        <f t="shared" si="17"/>
        <v/>
      </c>
      <c r="CP139" s="22" t="str">
        <f t="shared" si="18"/>
        <v/>
      </c>
      <c r="CQ139" s="22" t="str">
        <f t="shared" si="19"/>
        <v/>
      </c>
      <c r="CR139" s="22" t="str">
        <f t="shared" si="20"/>
        <v/>
      </c>
      <c r="CS139" s="22" t="str">
        <f t="shared" si="21"/>
        <v/>
      </c>
    </row>
    <row r="140" spans="1:97" x14ac:dyDescent="0.3">
      <c r="A140" s="22" t="s">
        <v>190</v>
      </c>
      <c r="B140" s="22" t="s">
        <v>149</v>
      </c>
      <c r="D140" s="22" t="s">
        <v>163</v>
      </c>
      <c r="E140" t="s">
        <v>323</v>
      </c>
      <c r="F140" s="22">
        <v>120303</v>
      </c>
      <c r="G140" s="25" t="s">
        <v>167</v>
      </c>
      <c r="H140" s="23">
        <f>Tabel2[[#This Row],[pnt t/m 2021/22]]+Tabel2[[#This Row],[pnt 2022/2023]]</f>
        <v>426.13095238095241</v>
      </c>
      <c r="I140">
        <v>2011</v>
      </c>
      <c r="J140">
        <v>2023</v>
      </c>
      <c r="K140" s="24">
        <f>Tabel2[[#This Row],[ijkdatum]]-Tabel2[[#This Row],[Geboren]]</f>
        <v>12</v>
      </c>
      <c r="L140" s="26">
        <f>Tabel2[[#This Row],[TTL 1]]+Tabel2[[#This Row],[TTL 2]]+Tabel2[[#This Row],[TTL 3]]+Tabel2[[#This Row],[TTL 4]]+Tabel2[[#This Row],[TTL 5]]+Tabel2[[#This Row],[TTL 6]]+Tabel2[[#This Row],[TTL 7]]+Tabel2[[#This Row],[TTL 8]]+Tabel2[[#This Row],[TTL 9]]+Tabel2[[#This Row],[TTL 10]]</f>
        <v>0</v>
      </c>
      <c r="M140" s="153">
        <v>426.13095238095241</v>
      </c>
      <c r="O140">
        <v>1</v>
      </c>
      <c r="S140" s="153">
        <f>SUM(Tabel2[[#This Row],[V 1]]*10+Tabel2[[#This Row],[GT 1]])/Tabel2[[#This Row],[AW 1]]*10+Tabel2[[#This Row],[BONUS 1]]</f>
        <v>0</v>
      </c>
      <c r="U140">
        <v>1</v>
      </c>
      <c r="Y140" s="23">
        <f>SUM(Tabel2[[#This Row],[V 2]]*10+Tabel2[[#This Row],[GT 2]])/Tabel2[[#This Row],[AW 2]]*10+Tabel2[[#This Row],[BONUS 2]]</f>
        <v>0</v>
      </c>
      <c r="AA140">
        <v>1</v>
      </c>
      <c r="AE140" s="23">
        <f>SUM(Tabel2[[#This Row],[V 3]]*10+Tabel2[[#This Row],[GT 3]])/Tabel2[[#This Row],[AW 3]]*10+Tabel2[[#This Row],[BONUS 3]]</f>
        <v>0</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10]])/2)/Tabel2[[#This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0" s="22">
        <v>250</v>
      </c>
      <c r="BX140" s="22">
        <f>Tabel2[[#This Row],[Diploma]]-Tabel2[[#This Row],[Uitgeschreven]]</f>
        <v>0</v>
      </c>
      <c r="BY140" s="155" t="str">
        <f t="shared" si="16"/>
        <v>geen actie</v>
      </c>
      <c r="CA140" s="150">
        <f>Tabel2[[#This Row],[pnt t/m 2021/22]]</f>
        <v>426.13095238095241</v>
      </c>
      <c r="CB140" s="150">
        <f>Tabel2[[#This Row],[pnt 2022/2023]]</f>
        <v>0</v>
      </c>
      <c r="CC140" s="150">
        <f t="shared" si="22"/>
        <v>426.13095238095241</v>
      </c>
      <c r="CD140" s="150">
        <f>IF(Tabel2[[#This Row],[LPR 1]]&gt;0,1,0)</f>
        <v>0</v>
      </c>
      <c r="CE140" s="150">
        <f>IF(Tabel2[[#This Row],[LPR 2]]&gt;0,1,0)</f>
        <v>0</v>
      </c>
      <c r="CF140" s="150">
        <f>IF(Tabel2[[#This Row],[LPR 3]]&gt;0,1,0)</f>
        <v>0</v>
      </c>
      <c r="CG140" s="150">
        <f>IF(Tabel2[[#This Row],[LPR 4]]&gt;0,1,0)</f>
        <v>0</v>
      </c>
      <c r="CH140" s="150">
        <f>IF(Tabel2[[#This Row],[LPR 5]]&gt;0,1,0)</f>
        <v>0</v>
      </c>
      <c r="CI140" s="150">
        <f>IF(Tabel2[[#This Row],[LPR 6]]&gt;0,1,0)</f>
        <v>0</v>
      </c>
      <c r="CJ140" s="150">
        <f>IF(Tabel2[[#This Row],[LPR 7]]&gt;0,1,0)</f>
        <v>0</v>
      </c>
      <c r="CK140" s="150">
        <f>IF(Tabel2[[#This Row],[LPR 8]]&gt;0,1,0)</f>
        <v>0</v>
      </c>
      <c r="CL140" s="150">
        <f>IF(Tabel2[[#This Row],[LPR 9]]&gt;0,1,0)</f>
        <v>0</v>
      </c>
      <c r="CM140" s="150">
        <f>IF(Tabel2[[#This Row],[LPR 10]]&gt;0,1,0)</f>
        <v>0</v>
      </c>
      <c r="CN140" s="150">
        <f>SUM(Tabel7[[#This Row],[sep]:[jun]])</f>
        <v>0</v>
      </c>
      <c r="CO140" s="22" t="str">
        <f t="shared" si="17"/>
        <v/>
      </c>
      <c r="CP140" s="22" t="str">
        <f t="shared" si="18"/>
        <v/>
      </c>
      <c r="CQ140" s="22" t="str">
        <f t="shared" si="19"/>
        <v/>
      </c>
      <c r="CR140" s="22" t="str">
        <f t="shared" si="20"/>
        <v/>
      </c>
      <c r="CS140" s="22" t="str">
        <f t="shared" si="21"/>
        <v/>
      </c>
    </row>
    <row r="141" spans="1:97" x14ac:dyDescent="0.3">
      <c r="A141" s="22" t="s">
        <v>148</v>
      </c>
      <c r="B141" s="22" t="s">
        <v>149</v>
      </c>
      <c r="D141" s="22" t="s">
        <v>160</v>
      </c>
      <c r="E141" t="s">
        <v>324</v>
      </c>
      <c r="F141" s="22">
        <v>117063</v>
      </c>
      <c r="G141" s="25" t="s">
        <v>201</v>
      </c>
      <c r="H141" s="142">
        <f>Tabel2[[#This Row],[pnt t/m 2021/22]]+Tabel2[[#This Row],[pnt 2022/2023]]</f>
        <v>3003.0485625485626</v>
      </c>
      <c r="I141">
        <v>2007</v>
      </c>
      <c r="J141">
        <v>2023</v>
      </c>
      <c r="K141" s="24">
        <f>Tabel2[[#This Row],[ijkdatum]]-Tabel2[[#This Row],[Geboren]]</f>
        <v>16</v>
      </c>
      <c r="L141" s="26">
        <f>Tabel2[[#This Row],[TTL 1]]+Tabel2[[#This Row],[TTL 2]]+Tabel2[[#This Row],[TTL 3]]+Tabel2[[#This Row],[TTL 4]]+Tabel2[[#This Row],[TTL 5]]+Tabel2[[#This Row],[TTL 6]]+Tabel2[[#This Row],[TTL 7]]+Tabel2[[#This Row],[TTL 8]]+Tabel2[[#This Row],[TTL 9]]+Tabel2[[#This Row],[TTL 10]]</f>
        <v>114</v>
      </c>
      <c r="M141" s="141">
        <v>2889.0485625485626</v>
      </c>
      <c r="N141">
        <v>1</v>
      </c>
      <c r="O141">
        <v>10</v>
      </c>
      <c r="P141">
        <v>7</v>
      </c>
      <c r="Q141">
        <v>44</v>
      </c>
      <c r="S141" s="23">
        <f>SUM(Tabel2[[#This Row],[V 1]]*10+Tabel2[[#This Row],[GT 1]])/Tabel2[[#This Row],[AW 1]]*10+Tabel2[[#This Row],[BONUS 1]]</f>
        <v>114</v>
      </c>
      <c r="U141">
        <v>1</v>
      </c>
      <c r="Y141" s="23">
        <f>SUM(Tabel2[[#This Row],[V 2]]*10+Tabel2[[#This Row],[GT 2]])/Tabel2[[#This Row],[AW 2]]*10+Tabel2[[#This Row],[BONUS 2]]</f>
        <v>0</v>
      </c>
      <c r="AA141">
        <v>1</v>
      </c>
      <c r="AE141" s="23">
        <f>SUM(Tabel2[[#This Row],[V 3]]*10+Tabel2[[#This Row],[GT 3]])/Tabel2[[#This Row],[AW 3]]*10+Tabel2[[#This Row],[BONUS 3]]</f>
        <v>0</v>
      </c>
      <c r="AG141">
        <v>1</v>
      </c>
      <c r="AK141" s="23">
        <f>SUM(Tabel2[[#This Row],[V 4]]*10+Tabel2[[#This Row],[GT 4]])/Tabel2[[#This Row],[AW 4]]*10+Tabel2[[#This Row],[BONUS 4]]</f>
        <v>0</v>
      </c>
      <c r="AM141">
        <v>1</v>
      </c>
      <c r="AQ141" s="23">
        <f>SUM(Tabel2[[#This Row],[V 5]]*10+Tabel2[[#This Row],[GT 5]])/Tabel2[[#This Row],[AW 5]]*10+Tabel2[[#This Row],[BONUS 5]]</f>
        <v>0</v>
      </c>
      <c r="AS141">
        <v>1</v>
      </c>
      <c r="AW141" s="23">
        <f>SUM(Tabel2[[#This Row],[V 6]]*10+Tabel2[[#This Row],[GT 6]])/Tabel2[[#This Row],[AW 6]]*10+Tabel2[[#This Row],[BONUS 6]]</f>
        <v>0</v>
      </c>
      <c r="AY141">
        <v>1</v>
      </c>
      <c r="BC141" s="23">
        <f>SUM(Tabel2[[#This Row],[V 7]]*10+Tabel2[[#This Row],[GT 7]])/Tabel2[[#This Row],[AW 7]]*10+Tabel2[[#This Row],[BONUS 7]]</f>
        <v>0</v>
      </c>
      <c r="BE141">
        <v>1</v>
      </c>
      <c r="BI141" s="23">
        <f>SUM(Tabel2[[#This Row],[V 8]]*10+Tabel2[[#This Row],[GT 8]])/Tabel2[[#This Row],[AW 8]]*10+Tabel2[[#This Row],[BONUS 8]]</f>
        <v>0</v>
      </c>
      <c r="BK141">
        <v>1</v>
      </c>
      <c r="BO141" s="2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41" s="22">
        <v>3000</v>
      </c>
      <c r="BX141" s="30">
        <f>Tabel2[[#This Row],[Diploma]]-Tabel2[[#This Row],[Uitgeschreven]]</f>
        <v>0</v>
      </c>
      <c r="BY141" s="2" t="str">
        <f t="shared" si="16"/>
        <v>geen actie</v>
      </c>
      <c r="CA141" s="150">
        <f>Tabel2[[#This Row],[pnt t/m 2021/22]]</f>
        <v>2889.0485625485626</v>
      </c>
      <c r="CB141" s="150">
        <f>Tabel2[[#This Row],[pnt 2022/2023]]</f>
        <v>114</v>
      </c>
      <c r="CC141" s="150">
        <f t="shared" si="22"/>
        <v>3003.0485625485626</v>
      </c>
      <c r="CD141" s="150">
        <f>IF(Tabel2[[#This Row],[LPR 1]]&gt;0,1,0)</f>
        <v>1</v>
      </c>
      <c r="CE141" s="150">
        <f>IF(Tabel2[[#This Row],[LPR 2]]&gt;0,1,0)</f>
        <v>0</v>
      </c>
      <c r="CF141" s="150">
        <f>IF(Tabel2[[#This Row],[LPR 3]]&gt;0,1,0)</f>
        <v>0</v>
      </c>
      <c r="CG141" s="150">
        <f>IF(Tabel2[[#This Row],[LPR 4]]&gt;0,1,0)</f>
        <v>0</v>
      </c>
      <c r="CH141" s="150">
        <f>IF(Tabel2[[#This Row],[LPR 5]]&gt;0,1,0)</f>
        <v>0</v>
      </c>
      <c r="CI141" s="150">
        <f>IF(Tabel2[[#This Row],[LPR 6]]&gt;0,1,0)</f>
        <v>0</v>
      </c>
      <c r="CJ141" s="150">
        <f>IF(Tabel2[[#This Row],[LPR 7]]&gt;0,1,0)</f>
        <v>0</v>
      </c>
      <c r="CK141" s="150">
        <f>IF(Tabel2[[#This Row],[LPR 8]]&gt;0,1,0)</f>
        <v>0</v>
      </c>
      <c r="CL141" s="150">
        <f>IF(Tabel2[[#This Row],[LPR 9]]&gt;0,1,0)</f>
        <v>0</v>
      </c>
      <c r="CM141" s="150">
        <f>IF(Tabel2[[#This Row],[LPR 10]]&gt;0,1,0)</f>
        <v>0</v>
      </c>
      <c r="CN141" s="150">
        <f>SUM(Tabel7[[#This Row],[sep]:[jun]])</f>
        <v>1</v>
      </c>
      <c r="CO141" s="22" t="str">
        <f t="shared" si="17"/>
        <v/>
      </c>
      <c r="CP141" s="22" t="str">
        <f t="shared" si="18"/>
        <v/>
      </c>
      <c r="CQ141" s="22" t="str">
        <f t="shared" si="19"/>
        <v/>
      </c>
      <c r="CR141" s="22" t="str">
        <f t="shared" si="20"/>
        <v/>
      </c>
      <c r="CS141" s="22" t="str">
        <f t="shared" si="21"/>
        <v>x</v>
      </c>
    </row>
    <row r="142" spans="1:97" x14ac:dyDescent="0.3">
      <c r="A142" s="22" t="s">
        <v>156</v>
      </c>
      <c r="B142" s="22" t="s">
        <v>157</v>
      </c>
      <c r="D142" s="22" t="s">
        <v>163</v>
      </c>
      <c r="E142" t="s">
        <v>325</v>
      </c>
      <c r="F142" s="22">
        <v>120017</v>
      </c>
      <c r="G142" s="25" t="s">
        <v>206</v>
      </c>
      <c r="H142" s="23">
        <f>Tabel2[[#This Row],[pnt t/m 2021/22]]+Tabel2[[#This Row],[pnt 2022/2023]]</f>
        <v>165.53571428571428</v>
      </c>
      <c r="I142">
        <v>2009</v>
      </c>
      <c r="J142">
        <v>2023</v>
      </c>
      <c r="K142" s="24">
        <f>Tabel2[[#This Row],[ijkdatum]]-Tabel2[[#This Row],[Geboren]]</f>
        <v>14</v>
      </c>
      <c r="L142" s="26">
        <f>Tabel2[[#This Row],[TTL 1]]+Tabel2[[#This Row],[TTL 2]]+Tabel2[[#This Row],[TTL 3]]+Tabel2[[#This Row],[TTL 4]]+Tabel2[[#This Row],[TTL 5]]+Tabel2[[#This Row],[TTL 6]]+Tabel2[[#This Row],[TTL 7]]+Tabel2[[#This Row],[TTL 8]]+Tabel2[[#This Row],[TTL 9]]+Tabel2[[#This Row],[TTL 10]]</f>
        <v>0</v>
      </c>
      <c r="M142" s="157">
        <v>165.53571428571428</v>
      </c>
      <c r="O142">
        <v>1</v>
      </c>
      <c r="S142" s="153">
        <f>SUM(Tabel2[[#This Row],[V 1]]*10+Tabel2[[#This Row],[GT 1]])/Tabel2[[#This Row],[AW 1]]*10+Tabel2[[#This Row],[BONUS 1]]</f>
        <v>0</v>
      </c>
      <c r="U142">
        <v>1</v>
      </c>
      <c r="Y142" s="153">
        <f>SUM(Tabel2[[#This Row],[V 2]]*10+Tabel2[[#This Row],[GT 2]])/Tabel2[[#This Row],[AW 2]]*10+Tabel2[[#This Row],[BONUS 2]]</f>
        <v>0</v>
      </c>
      <c r="AA142">
        <v>1</v>
      </c>
      <c r="AE142" s="153">
        <f>SUM(Tabel2[[#This Row],[V 3]]*10+Tabel2[[#This Row],[GT 3]])/Tabel2[[#This Row],[AW 3]]*10+Tabel2[[#This Row],[BONUS 3]]</f>
        <v>0</v>
      </c>
      <c r="AG142">
        <v>1</v>
      </c>
      <c r="AK142" s="153">
        <f>SUM(Tabel2[[#This Row],[V 4]]*10+Tabel2[[#This Row],[GT 4]])/Tabel2[[#This Row],[AW 4]]*10+Tabel2[[#This Row],[BONUS 4]]</f>
        <v>0</v>
      </c>
      <c r="AM142">
        <v>1</v>
      </c>
      <c r="AQ142" s="153">
        <f>SUM(Tabel2[[#This Row],[V 5]]*10+Tabel2[[#This Row],[GT 5]])/Tabel2[[#This Row],[AW 5]]*10+Tabel2[[#This Row],[BONUS 5]]</f>
        <v>0</v>
      </c>
      <c r="AS142">
        <v>1</v>
      </c>
      <c r="AW142" s="153">
        <f>SUM(Tabel2[[#This Row],[V 6]]*10+Tabel2[[#This Row],[GT 6]])/Tabel2[[#This Row],[AW 6]]*10+Tabel2[[#This Row],[BONUS 6]]</f>
        <v>0</v>
      </c>
      <c r="AY142">
        <v>1</v>
      </c>
      <c r="BC142" s="153">
        <f>SUM(Tabel2[[#This Row],[V 7]]*10+Tabel2[[#This Row],[GT 7]])/Tabel2[[#This Row],[AW 7]]*10+Tabel2[[#This Row],[BONUS 7]]</f>
        <v>0</v>
      </c>
      <c r="BE142">
        <v>1</v>
      </c>
      <c r="BI142" s="153">
        <f>SUM(Tabel2[[#This Row],[V 8]]*10+Tabel2[[#This Row],[GT 8]])/Tabel2[[#This Row],[AW 8]]*10+Tabel2[[#This Row],[BONUS 8]]</f>
        <v>0</v>
      </c>
      <c r="BK142">
        <v>1</v>
      </c>
      <c r="BO142" s="15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2" s="22">
        <v>0</v>
      </c>
      <c r="BX142" s="22">
        <f>Tabel2[[#This Row],[Diploma]]-Tabel2[[#This Row],[Uitgeschreven]]</f>
        <v>0</v>
      </c>
      <c r="BY142" s="155" t="str">
        <f t="shared" si="16"/>
        <v>geen actie</v>
      </c>
      <c r="CA142" s="150">
        <f>Tabel2[[#This Row],[pnt t/m 2021/22]]</f>
        <v>165.53571428571428</v>
      </c>
      <c r="CB142" s="150">
        <f>Tabel2[[#This Row],[pnt 2022/2023]]</f>
        <v>0</v>
      </c>
      <c r="CC142" s="150">
        <f t="shared" si="22"/>
        <v>165.53571428571428</v>
      </c>
      <c r="CD142" s="150">
        <f>IF(Tabel2[[#This Row],[LPR 1]]&gt;0,1,0)</f>
        <v>0</v>
      </c>
      <c r="CE142" s="150">
        <f>IF(Tabel2[[#This Row],[LPR 2]]&gt;0,1,0)</f>
        <v>0</v>
      </c>
      <c r="CF142" s="150">
        <f>IF(Tabel2[[#This Row],[LPR 3]]&gt;0,1,0)</f>
        <v>0</v>
      </c>
      <c r="CG142" s="150">
        <f>IF(Tabel2[[#This Row],[LPR 4]]&gt;0,1,0)</f>
        <v>0</v>
      </c>
      <c r="CH142" s="150">
        <f>IF(Tabel2[[#This Row],[LPR 5]]&gt;0,1,0)</f>
        <v>0</v>
      </c>
      <c r="CI142" s="150">
        <f>IF(Tabel2[[#This Row],[LPR 6]]&gt;0,1,0)</f>
        <v>0</v>
      </c>
      <c r="CJ142" s="150">
        <f>IF(Tabel2[[#This Row],[LPR 7]]&gt;0,1,0)</f>
        <v>0</v>
      </c>
      <c r="CK142" s="150">
        <f>IF(Tabel2[[#This Row],[LPR 8]]&gt;0,1,0)</f>
        <v>0</v>
      </c>
      <c r="CL142" s="150">
        <f>IF(Tabel2[[#This Row],[LPR 9]]&gt;0,1,0)</f>
        <v>0</v>
      </c>
      <c r="CM142" s="150">
        <f>IF(Tabel2[[#This Row],[LPR 10]]&gt;0,1,0)</f>
        <v>0</v>
      </c>
      <c r="CN142" s="150">
        <f>SUM(Tabel7[[#This Row],[sep]:[jun]])</f>
        <v>0</v>
      </c>
      <c r="CO142" s="22" t="str">
        <f t="shared" si="17"/>
        <v/>
      </c>
      <c r="CP142" s="22" t="str">
        <f t="shared" si="18"/>
        <v/>
      </c>
      <c r="CQ142" s="22" t="str">
        <f t="shared" si="19"/>
        <v/>
      </c>
      <c r="CR142" s="22" t="str">
        <f t="shared" si="20"/>
        <v/>
      </c>
      <c r="CS142" s="22" t="str">
        <f t="shared" si="21"/>
        <v/>
      </c>
    </row>
    <row r="143" spans="1:97" x14ac:dyDescent="0.3">
      <c r="A143" s="22" t="s">
        <v>156</v>
      </c>
      <c r="B143" s="22" t="s">
        <v>149</v>
      </c>
      <c r="D143" s="22" t="s">
        <v>150</v>
      </c>
      <c r="E143" t="s">
        <v>326</v>
      </c>
      <c r="F143" s="22">
        <v>118760</v>
      </c>
      <c r="G143" s="25" t="s">
        <v>162</v>
      </c>
      <c r="H143" s="142">
        <f>Tabel2[[#This Row],[pnt t/m 2021/22]]+Tabel2[[#This Row],[pnt 2022/2023]]</f>
        <v>1502.6230158730161</v>
      </c>
      <c r="I143">
        <v>2010</v>
      </c>
      <c r="J143">
        <v>2023</v>
      </c>
      <c r="K143" s="24">
        <f>Tabel2[[#This Row],[ijkdatum]]-Tabel2[[#This Row],[Geboren]]</f>
        <v>13</v>
      </c>
      <c r="L143" s="26">
        <f>Tabel2[[#This Row],[TTL 1]]+Tabel2[[#This Row],[TTL 2]]+Tabel2[[#This Row],[TTL 3]]+Tabel2[[#This Row],[TTL 4]]+Tabel2[[#This Row],[TTL 5]]+Tabel2[[#This Row],[TTL 6]]+Tabel2[[#This Row],[TTL 7]]+Tabel2[[#This Row],[TTL 8]]+Tabel2[[#This Row],[TTL 9]]+Tabel2[[#This Row],[TTL 10]]</f>
        <v>77.142857142857139</v>
      </c>
      <c r="M143" s="141">
        <v>1425.480158730159</v>
      </c>
      <c r="N143">
        <v>6</v>
      </c>
      <c r="O143">
        <v>7</v>
      </c>
      <c r="P143">
        <v>3</v>
      </c>
      <c r="Q143">
        <v>24</v>
      </c>
      <c r="S143" s="23">
        <f>SUM(Tabel2[[#This Row],[V 1]]*10+Tabel2[[#This Row],[GT 1]])/Tabel2[[#This Row],[AW 1]]*10+Tabel2[[#This Row],[BONUS 1]]</f>
        <v>77.142857142857139</v>
      </c>
      <c r="U143">
        <v>1</v>
      </c>
      <c r="Y143" s="23">
        <f>SUM(Tabel2[[#This Row],[V 2]]*10+Tabel2[[#This Row],[GT 2]])/Tabel2[[#This Row],[AW 2]]*10+Tabel2[[#This Row],[BONUS 2]]</f>
        <v>0</v>
      </c>
      <c r="AA143">
        <v>1</v>
      </c>
      <c r="AE143" s="23">
        <f>SUM(Tabel2[[#This Row],[V 3]]*10+Tabel2[[#This Row],[GT 3]])/Tabel2[[#This Row],[AW 3]]*10+Tabel2[[#This Row],[BONUS 3]]</f>
        <v>0</v>
      </c>
      <c r="AG143">
        <v>1</v>
      </c>
      <c r="AK143" s="23">
        <f>SUM(Tabel2[[#This Row],[V 4]]*10+Tabel2[[#This Row],[GT 4]])/Tabel2[[#This Row],[AW 4]]*10+Tabel2[[#This Row],[BONUS 4]]</f>
        <v>0</v>
      </c>
      <c r="AM143">
        <v>1</v>
      </c>
      <c r="AQ143" s="23">
        <f>SUM(Tabel2[[#This Row],[V 5]]*10+Tabel2[[#This Row],[GT 5]])/Tabel2[[#This Row],[AW 5]]*10+Tabel2[[#This Row],[BONUS 5]]</f>
        <v>0</v>
      </c>
      <c r="AS143">
        <v>1</v>
      </c>
      <c r="AW143" s="23">
        <f>SUM(Tabel2[[#This Row],[V 6]]*10+Tabel2[[#This Row],[GT 6]])/Tabel2[[#This Row],[AW 6]]*10+Tabel2[[#This Row],[BONUS 6]]</f>
        <v>0</v>
      </c>
      <c r="AY143">
        <v>1</v>
      </c>
      <c r="BC143" s="23">
        <f>SUM(Tabel2[[#This Row],[V 7]]*10+Tabel2[[#This Row],[GT 7]])/Tabel2[[#This Row],[AW 7]]*10+Tabel2[[#This Row],[BONUS 7]]</f>
        <v>0</v>
      </c>
      <c r="BE143">
        <v>1</v>
      </c>
      <c r="BI143" s="23">
        <f>SUM(Tabel2[[#This Row],[V 8]]*10+Tabel2[[#This Row],[GT 8]])/Tabel2[[#This Row],[AW 8]]*10+Tabel2[[#This Row],[BONUS 8]]</f>
        <v>0</v>
      </c>
      <c r="BK143">
        <v>1</v>
      </c>
      <c r="BO143" s="23">
        <f>SUM(Tabel2[[#This Row],[V 9]]*10+Tabel2[[#This Row],[GT 9]])/Tabel2[[#This Row],[AW 9]]*10+Tabel2[[#This Row],[BONUS 9]]</f>
        <v>0</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3" s="22">
        <v>1500</v>
      </c>
      <c r="BX143" s="30">
        <f>Tabel2[[#This Row],[Diploma]]-Tabel2[[#This Row],[Uitgeschreven]]</f>
        <v>0</v>
      </c>
      <c r="BY143" s="2" t="str">
        <f t="shared" si="16"/>
        <v>geen actie</v>
      </c>
      <c r="CA143" s="150">
        <f>Tabel2[[#This Row],[pnt t/m 2021/22]]</f>
        <v>1425.480158730159</v>
      </c>
      <c r="CB143" s="150">
        <f>Tabel2[[#This Row],[pnt 2022/2023]]</f>
        <v>77.142857142857139</v>
      </c>
      <c r="CC143" s="150">
        <f t="shared" si="22"/>
        <v>1502.6230158730161</v>
      </c>
      <c r="CD143" s="150">
        <f>IF(Tabel2[[#This Row],[LPR 1]]&gt;0,1,0)</f>
        <v>1</v>
      </c>
      <c r="CE143" s="150">
        <f>IF(Tabel2[[#This Row],[LPR 2]]&gt;0,1,0)</f>
        <v>0</v>
      </c>
      <c r="CF143" s="150">
        <f>IF(Tabel2[[#This Row],[LPR 3]]&gt;0,1,0)</f>
        <v>0</v>
      </c>
      <c r="CG143" s="150">
        <f>IF(Tabel2[[#This Row],[LPR 4]]&gt;0,1,0)</f>
        <v>0</v>
      </c>
      <c r="CH143" s="150">
        <f>IF(Tabel2[[#This Row],[LPR 5]]&gt;0,1,0)</f>
        <v>0</v>
      </c>
      <c r="CI143" s="150">
        <f>IF(Tabel2[[#This Row],[LPR 6]]&gt;0,1,0)</f>
        <v>0</v>
      </c>
      <c r="CJ143" s="150">
        <f>IF(Tabel2[[#This Row],[LPR 7]]&gt;0,1,0)</f>
        <v>0</v>
      </c>
      <c r="CK143" s="150">
        <f>IF(Tabel2[[#This Row],[LPR 8]]&gt;0,1,0)</f>
        <v>0</v>
      </c>
      <c r="CL143" s="150">
        <f>IF(Tabel2[[#This Row],[LPR 9]]&gt;0,1,0)</f>
        <v>0</v>
      </c>
      <c r="CM143" s="150">
        <f>IF(Tabel2[[#This Row],[LPR 10]]&gt;0,1,0)</f>
        <v>0</v>
      </c>
      <c r="CN143" s="150">
        <f>SUM(Tabel7[[#This Row],[sep]:[jun]])</f>
        <v>1</v>
      </c>
      <c r="CO143" s="22" t="str">
        <f t="shared" si="17"/>
        <v/>
      </c>
      <c r="CP143" s="22" t="str">
        <f t="shared" si="18"/>
        <v>x</v>
      </c>
      <c r="CQ143" s="22" t="str">
        <f t="shared" si="19"/>
        <v/>
      </c>
      <c r="CR143" s="22" t="str">
        <f t="shared" si="20"/>
        <v/>
      </c>
      <c r="CS143" s="22" t="str">
        <f t="shared" si="21"/>
        <v/>
      </c>
    </row>
    <row r="144" spans="1:97" x14ac:dyDescent="0.3">
      <c r="A144" s="22" t="s">
        <v>156</v>
      </c>
      <c r="B144" s="22" t="s">
        <v>149</v>
      </c>
      <c r="D144" s="22" t="s">
        <v>150</v>
      </c>
      <c r="E144" t="s">
        <v>327</v>
      </c>
      <c r="F144" s="22">
        <v>118759</v>
      </c>
      <c r="G144" s="25" t="s">
        <v>162</v>
      </c>
      <c r="H144" s="142">
        <f>Tabel2[[#This Row],[pnt t/m 2021/22]]+Tabel2[[#This Row],[pnt 2022/2023]]</f>
        <v>1189.3373015873017</v>
      </c>
      <c r="I144">
        <v>2008</v>
      </c>
      <c r="J144">
        <v>2023</v>
      </c>
      <c r="K144" s="24">
        <f>Tabel2[[#This Row],[ijkdatum]]-Tabel2[[#This Row],[Geboren]]</f>
        <v>15</v>
      </c>
      <c r="L144" s="26">
        <f>Tabel2[[#This Row],[TTL 1]]+Tabel2[[#This Row],[TTL 2]]+Tabel2[[#This Row],[TTL 3]]+Tabel2[[#This Row],[TTL 4]]+Tabel2[[#This Row],[TTL 5]]+Tabel2[[#This Row],[TTL 6]]+Tabel2[[#This Row],[TTL 7]]+Tabel2[[#This Row],[TTL 8]]+Tabel2[[#This Row],[TTL 9]]+Tabel2[[#This Row],[TTL 10]]</f>
        <v>73.75</v>
      </c>
      <c r="M144" s="141">
        <v>1115.5873015873017</v>
      </c>
      <c r="N144">
        <v>5</v>
      </c>
      <c r="O144">
        <v>8</v>
      </c>
      <c r="P144">
        <v>3</v>
      </c>
      <c r="Q144">
        <v>29</v>
      </c>
      <c r="S144" s="23">
        <f>SUM(Tabel2[[#This Row],[V 1]]*10+Tabel2[[#This Row],[GT 1]])/Tabel2[[#This Row],[AW 1]]*10+Tabel2[[#This Row],[BONUS 1]]</f>
        <v>73.75</v>
      </c>
      <c r="U144">
        <v>1</v>
      </c>
      <c r="Y144" s="23">
        <f>SUM(Tabel2[[#This Row],[V 2]]*10+Tabel2[[#This Row],[GT 2]])/Tabel2[[#This Row],[AW 2]]*10+Tabel2[[#This Row],[BONUS 2]]</f>
        <v>0</v>
      </c>
      <c r="AA144">
        <v>1</v>
      </c>
      <c r="AE144" s="23">
        <f>SUM(Tabel2[[#This Row],[V 3]]*10+Tabel2[[#This Row],[GT 3]])/Tabel2[[#This Row],[AW 3]]*10+Tabel2[[#This Row],[BONUS 3]]</f>
        <v>0</v>
      </c>
      <c r="AG144">
        <v>1</v>
      </c>
      <c r="AK144" s="23">
        <f>SUM(Tabel2[[#This Row],[V 4]]*10+Tabel2[[#This Row],[GT 4]])/Tabel2[[#This Row],[AW 4]]*10+Tabel2[[#This Row],[BONUS 4]]</f>
        <v>0</v>
      </c>
      <c r="AM144">
        <v>1</v>
      </c>
      <c r="AQ144" s="23">
        <f>SUM(Tabel2[[#This Row],[V 5]]*10+Tabel2[[#This Row],[GT 5]])/Tabel2[[#This Row],[AW 5]]*10+Tabel2[[#This Row],[BONUS 5]]</f>
        <v>0</v>
      </c>
      <c r="AS144">
        <v>1</v>
      </c>
      <c r="AW144" s="23">
        <f>SUM(Tabel2[[#This Row],[V 6]]*10+Tabel2[[#This Row],[GT 6]])/Tabel2[[#This Row],[AW 6]]*10+Tabel2[[#This Row],[BONUS 6]]</f>
        <v>0</v>
      </c>
      <c r="AY144">
        <v>1</v>
      </c>
      <c r="BC144" s="23">
        <f>SUM(Tabel2[[#This Row],[V 7]]*10+Tabel2[[#This Row],[GT 7]])/Tabel2[[#This Row],[AW 7]]*10+Tabel2[[#This Row],[BONUS 7]]</f>
        <v>0</v>
      </c>
      <c r="BE144">
        <v>1</v>
      </c>
      <c r="BI144" s="23">
        <f>SUM(Tabel2[[#This Row],[V 8]]*10+Tabel2[[#This Row],[GT 8]])/Tabel2[[#This Row],[AW 8]]*10+Tabel2[[#This Row],[BONUS 8]]</f>
        <v>0</v>
      </c>
      <c r="BK144">
        <v>1</v>
      </c>
      <c r="BO144" s="23">
        <f>SUM(Tabel2[[#This Row],[V 9]]*10+Tabel2[[#This Row],[GT 9]])/Tabel2[[#This Row],[AW 9]]*10+Tabel2[[#This Row],[BONUS 9]]</f>
        <v>0</v>
      </c>
      <c r="BQ144">
        <v>1</v>
      </c>
      <c r="BU144" s="23">
        <f>SUM(Tabel2[[#This Row],[V 10]]*10+Tabel2[[#This Row],[GT 10]])/Tabel2[[#This Row],[AW 10]]*10+Tabel2[[#This Row],[BONUS 10]]</f>
        <v>0</v>
      </c>
      <c r="BV1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44" s="22">
        <v>1000</v>
      </c>
      <c r="BX144" s="30">
        <f>Tabel2[[#This Row],[Diploma]]-Tabel2[[#This Row],[Uitgeschreven]]</f>
        <v>0</v>
      </c>
      <c r="BY144" s="2" t="str">
        <f t="shared" si="16"/>
        <v>geen actie</v>
      </c>
      <c r="CA144" s="150">
        <f>Tabel2[[#This Row],[pnt t/m 2021/22]]</f>
        <v>1115.5873015873017</v>
      </c>
      <c r="CB144" s="150">
        <f>Tabel2[[#This Row],[pnt 2022/2023]]</f>
        <v>73.75</v>
      </c>
      <c r="CC144" s="150">
        <f t="shared" si="22"/>
        <v>1189.3373015873017</v>
      </c>
      <c r="CD144" s="150">
        <f>IF(Tabel2[[#This Row],[LPR 1]]&gt;0,1,0)</f>
        <v>1</v>
      </c>
      <c r="CE144" s="150">
        <f>IF(Tabel2[[#This Row],[LPR 2]]&gt;0,1,0)</f>
        <v>0</v>
      </c>
      <c r="CF144" s="150">
        <f>IF(Tabel2[[#This Row],[LPR 3]]&gt;0,1,0)</f>
        <v>0</v>
      </c>
      <c r="CG144" s="150">
        <f>IF(Tabel2[[#This Row],[LPR 4]]&gt;0,1,0)</f>
        <v>0</v>
      </c>
      <c r="CH144" s="150">
        <f>IF(Tabel2[[#This Row],[LPR 5]]&gt;0,1,0)</f>
        <v>0</v>
      </c>
      <c r="CI144" s="150">
        <f>IF(Tabel2[[#This Row],[LPR 6]]&gt;0,1,0)</f>
        <v>0</v>
      </c>
      <c r="CJ144" s="150">
        <f>IF(Tabel2[[#This Row],[LPR 7]]&gt;0,1,0)</f>
        <v>0</v>
      </c>
      <c r="CK144" s="150">
        <f>IF(Tabel2[[#This Row],[LPR 8]]&gt;0,1,0)</f>
        <v>0</v>
      </c>
      <c r="CL144" s="150">
        <f>IF(Tabel2[[#This Row],[LPR 9]]&gt;0,1,0)</f>
        <v>0</v>
      </c>
      <c r="CM144" s="150">
        <f>IF(Tabel2[[#This Row],[LPR 10]]&gt;0,1,0)</f>
        <v>0</v>
      </c>
      <c r="CN144" s="150">
        <f>SUM(Tabel7[[#This Row],[sep]:[jun]])</f>
        <v>1</v>
      </c>
      <c r="CO144" s="22" t="str">
        <f t="shared" si="17"/>
        <v/>
      </c>
      <c r="CP144" s="22" t="str">
        <f t="shared" si="18"/>
        <v/>
      </c>
      <c r="CQ144" s="22" t="str">
        <f t="shared" si="19"/>
        <v/>
      </c>
      <c r="CR144" s="22" t="str">
        <f t="shared" si="20"/>
        <v/>
      </c>
      <c r="CS144" s="22" t="str">
        <f t="shared" si="21"/>
        <v/>
      </c>
    </row>
    <row r="145" spans="1:97" x14ac:dyDescent="0.3">
      <c r="A145" s="22" t="s">
        <v>159</v>
      </c>
      <c r="B145" s="22" t="s">
        <v>149</v>
      </c>
      <c r="D145" s="22" t="s">
        <v>163</v>
      </c>
      <c r="E145" t="s">
        <v>328</v>
      </c>
      <c r="F145" s="22">
        <v>118413</v>
      </c>
      <c r="G145" s="25" t="s">
        <v>167</v>
      </c>
      <c r="H145" s="23">
        <f>Tabel2[[#This Row],[pnt t/m 2021/22]]+Tabel2[[#This Row],[pnt 2022/2023]]</f>
        <v>908.63095238095241</v>
      </c>
      <c r="I145">
        <v>2008</v>
      </c>
      <c r="J145">
        <v>2023</v>
      </c>
      <c r="K145" s="24">
        <f>Tabel2[[#This Row],[ijkdatum]]-Tabel2[[#This Row],[Geboren]]</f>
        <v>15</v>
      </c>
      <c r="L145" s="26">
        <f>Tabel2[[#This Row],[TTL 1]]+Tabel2[[#This Row],[TTL 2]]+Tabel2[[#This Row],[TTL 3]]+Tabel2[[#This Row],[TTL 4]]+Tabel2[[#This Row],[TTL 5]]+Tabel2[[#This Row],[TTL 6]]+Tabel2[[#This Row],[TTL 7]]+Tabel2[[#This Row],[TTL 8]]+Tabel2[[#This Row],[TTL 9]]+Tabel2[[#This Row],[TTL 10]]</f>
        <v>0</v>
      </c>
      <c r="M145" s="153">
        <v>908.63095238095241</v>
      </c>
      <c r="O145">
        <v>1</v>
      </c>
      <c r="S145" s="153">
        <f>SUM(Tabel2[[#This Row],[V 1]]*10+Tabel2[[#This Row],[GT 1]])/Tabel2[[#This Row],[AW 1]]*10+Tabel2[[#This Row],[BONUS 1]]</f>
        <v>0</v>
      </c>
      <c r="U145">
        <v>1</v>
      </c>
      <c r="Y145" s="153">
        <f>SUM(Tabel2[[#This Row],[V 2]]*10+Tabel2[[#This Row],[GT 2]])/Tabel2[[#This Row],[AW 2]]*10+Tabel2[[#This Row],[BONUS 2]]</f>
        <v>0</v>
      </c>
      <c r="AA145">
        <v>1</v>
      </c>
      <c r="AE145" s="153">
        <f>SUM(Tabel2[[#This Row],[V 3]]*10+Tabel2[[#This Row],[GT 3]])/Tabel2[[#This Row],[AW 3]]*10+Tabel2[[#This Row],[BONUS 3]]</f>
        <v>0</v>
      </c>
      <c r="AG145">
        <v>1</v>
      </c>
      <c r="AK145" s="153">
        <f>SUM(Tabel2[[#This Row],[V 4]]*10+Tabel2[[#This Row],[GT 4]])/Tabel2[[#This Row],[AW 4]]*10+Tabel2[[#This Row],[BONUS 4]]</f>
        <v>0</v>
      </c>
      <c r="AM145">
        <v>1</v>
      </c>
      <c r="AQ145" s="23">
        <f>SUM(Tabel2[[#This Row],[V 5]]*10+Tabel2[[#This Row],[GT 5]])/Tabel2[[#This Row],[AW 5]]*10+Tabel2[[#This Row],[BONUS 5]]</f>
        <v>0</v>
      </c>
      <c r="AS145">
        <v>1</v>
      </c>
      <c r="AW145" s="153">
        <f>SUM(Tabel2[[#This Row],[V 6]]*10+Tabel2[[#This Row],[GT 6]])/Tabel2[[#This Row],[AW 6]]*10+Tabel2[[#This Row],[BONUS 6]]</f>
        <v>0</v>
      </c>
      <c r="AY145">
        <v>1</v>
      </c>
      <c r="BC145" s="23">
        <f>SUM(Tabel2[[#This Row],[V 7]]*10+Tabel2[[#This Row],[GT 7]])/Tabel2[[#This Row],[AW 7]]*10+Tabel2[[#This Row],[BONUS 7]]</f>
        <v>0</v>
      </c>
      <c r="BE145">
        <v>1</v>
      </c>
      <c r="BI145" s="23">
        <f>SUM(Tabel2[[#This Row],[V 8]]*10+Tabel2[[#This Row],[GT 8]])/Tabel2[[#This Row],[AW 8]]*10+Tabel2[[#This Row],[BONUS 8]]</f>
        <v>0</v>
      </c>
      <c r="BK145">
        <v>1</v>
      </c>
      <c r="BO145" s="153">
        <f>SUM(Tabel2[[#This Row],[V 9]]*10+Tabel2[[#This Row],[GT 9]])/Tabel2[[#This Row],[AW 9]]*10+Tabel2[[#This Row],[BONUS 9]]</f>
        <v>0</v>
      </c>
      <c r="BQ145">
        <v>1</v>
      </c>
      <c r="BU145" s="23">
        <f>SUM(Tabel2[[#This Row],[V 10]]*10+Tabel2[[#This Row],[GT 10]])/Tabel2[[#This Row],[AW 10]]*10+Tabel2[[#This Row],[BONUS 10]]</f>
        <v>0</v>
      </c>
      <c r="BV1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45" s="22">
        <v>750</v>
      </c>
      <c r="BX145" s="22">
        <f>Tabel2[[#This Row],[Diploma]]-Tabel2[[#This Row],[Uitgeschreven]]</f>
        <v>0</v>
      </c>
      <c r="BY145" s="155" t="str">
        <f t="shared" si="16"/>
        <v>geen actie</v>
      </c>
      <c r="CA145" s="150">
        <f>Tabel2[[#This Row],[pnt t/m 2021/22]]</f>
        <v>908.63095238095241</v>
      </c>
      <c r="CB145" s="150">
        <f>Tabel2[[#This Row],[pnt 2022/2023]]</f>
        <v>0</v>
      </c>
      <c r="CC145" s="150">
        <f t="shared" si="22"/>
        <v>908.63095238095241</v>
      </c>
      <c r="CD145" s="150">
        <f>IF(Tabel2[[#This Row],[LPR 1]]&gt;0,1,0)</f>
        <v>0</v>
      </c>
      <c r="CE145" s="150">
        <f>IF(Tabel2[[#This Row],[LPR 2]]&gt;0,1,0)</f>
        <v>0</v>
      </c>
      <c r="CF145" s="150">
        <f>IF(Tabel2[[#This Row],[LPR 3]]&gt;0,1,0)</f>
        <v>0</v>
      </c>
      <c r="CG145" s="150">
        <f>IF(Tabel2[[#This Row],[LPR 4]]&gt;0,1,0)</f>
        <v>0</v>
      </c>
      <c r="CH145" s="150">
        <f>IF(Tabel2[[#This Row],[LPR 5]]&gt;0,1,0)</f>
        <v>0</v>
      </c>
      <c r="CI145" s="150">
        <f>IF(Tabel2[[#This Row],[LPR 6]]&gt;0,1,0)</f>
        <v>0</v>
      </c>
      <c r="CJ145" s="150">
        <f>IF(Tabel2[[#This Row],[LPR 7]]&gt;0,1,0)</f>
        <v>0</v>
      </c>
      <c r="CK145" s="150">
        <f>IF(Tabel2[[#This Row],[LPR 8]]&gt;0,1,0)</f>
        <v>0</v>
      </c>
      <c r="CL145" s="150">
        <f>IF(Tabel2[[#This Row],[LPR 9]]&gt;0,1,0)</f>
        <v>0</v>
      </c>
      <c r="CM145" s="150">
        <f>IF(Tabel2[[#This Row],[LPR 10]]&gt;0,1,0)</f>
        <v>0</v>
      </c>
      <c r="CN145" s="150">
        <f>SUM(Tabel7[[#This Row],[sep]:[jun]])</f>
        <v>0</v>
      </c>
      <c r="CO145" s="22" t="str">
        <f t="shared" si="17"/>
        <v/>
      </c>
      <c r="CP145" s="22" t="str">
        <f t="shared" si="18"/>
        <v/>
      </c>
      <c r="CQ145" s="22" t="str">
        <f t="shared" si="19"/>
        <v/>
      </c>
      <c r="CR145" s="22" t="str">
        <f t="shared" si="20"/>
        <v/>
      </c>
      <c r="CS145" s="22" t="str">
        <f t="shared" si="21"/>
        <v/>
      </c>
    </row>
    <row r="146" spans="1:97" x14ac:dyDescent="0.3">
      <c r="A146" s="22" t="s">
        <v>148</v>
      </c>
      <c r="B146" s="22" t="s">
        <v>149</v>
      </c>
      <c r="D146" s="22" t="s">
        <v>163</v>
      </c>
      <c r="E146" t="s">
        <v>329</v>
      </c>
      <c r="F146" s="22">
        <v>119521</v>
      </c>
      <c r="G146" s="25" t="s">
        <v>171</v>
      </c>
      <c r="H146" s="142">
        <f>Tabel2[[#This Row],[pnt t/m 2021/22]]+Tabel2[[#This Row],[pnt 2022/2023]]</f>
        <v>191.54761904761904</v>
      </c>
      <c r="I146">
        <v>2009</v>
      </c>
      <c r="J146">
        <v>2023</v>
      </c>
      <c r="K146" s="24">
        <f>Tabel2[[#This Row],[ijkdatum]]-Tabel2[[#This Row],[Geboren]]</f>
        <v>14</v>
      </c>
      <c r="L146" s="26">
        <f>Tabel2[[#This Row],[TTL 1]]+Tabel2[[#This Row],[TTL 2]]+Tabel2[[#This Row],[TTL 3]]+Tabel2[[#This Row],[TTL 4]]+Tabel2[[#This Row],[TTL 5]]+Tabel2[[#This Row],[TTL 6]]+Tabel2[[#This Row],[TTL 7]]+Tabel2[[#This Row],[TTL 8]]+Tabel2[[#This Row],[TTL 9]]+Tabel2[[#This Row],[TTL 10]]</f>
        <v>0</v>
      </c>
      <c r="M146" s="141">
        <v>191.54761904761904</v>
      </c>
      <c r="O146">
        <v>1</v>
      </c>
      <c r="S146" s="23">
        <f>SUM(Tabel2[[#This Row],[V 1]]*10+Tabel2[[#This Row],[GT 1]])/Tabel2[[#This Row],[AW 1]]*10+Tabel2[[#This Row],[BONUS 1]]</f>
        <v>0</v>
      </c>
      <c r="U146">
        <v>1</v>
      </c>
      <c r="Y146" s="23">
        <f>SUM(Tabel2[[#This Row],[V 2]]*10+Tabel2[[#This Row],[GT 2]])/Tabel2[[#This Row],[AW 2]]*10+Tabel2[[#This Row],[BONUS 2]]</f>
        <v>0</v>
      </c>
      <c r="AA146">
        <v>1</v>
      </c>
      <c r="AE146" s="23">
        <f>SUM(Tabel2[[#This Row],[V 3]]*10+Tabel2[[#This Row],[GT 3]])/Tabel2[[#This Row],[AW 3]]*10+Tabel2[[#This Row],[BONUS 3]]</f>
        <v>0</v>
      </c>
      <c r="AG146">
        <v>1</v>
      </c>
      <c r="AK146" s="23">
        <f>SUM(Tabel2[[#This Row],[V 4]]*10+Tabel2[[#This Row],[GT 4]])/Tabel2[[#This Row],[AW 4]]*10+Tabel2[[#This Row],[BONUS 4]]</f>
        <v>0</v>
      </c>
      <c r="AM146">
        <v>1</v>
      </c>
      <c r="AQ146" s="23">
        <f>SUM(Tabel2[[#This Row],[V 5]]*10+Tabel2[[#This Row],[GT 5]])/Tabel2[[#This Row],[AW 5]]*10+Tabel2[[#This Row],[BONUS 5]]</f>
        <v>0</v>
      </c>
      <c r="AS146">
        <v>1</v>
      </c>
      <c r="AW146" s="23">
        <f>SUM(Tabel2[[#This Row],[V 6]]*10+Tabel2[[#This Row],[GT 6]])/Tabel2[[#This Row],[AW 6]]*10+Tabel2[[#This Row],[BONUS 6]]</f>
        <v>0</v>
      </c>
      <c r="AY146">
        <v>1</v>
      </c>
      <c r="BC146" s="23">
        <f>SUM(Tabel2[[#This Row],[V 7]]*10+Tabel2[[#This Row],[GT 7]])/Tabel2[[#This Row],[AW 7]]*10+Tabel2[[#This Row],[BONUS 7]]</f>
        <v>0</v>
      </c>
      <c r="BE146">
        <v>1</v>
      </c>
      <c r="BI146" s="23">
        <f>SUM(Tabel2[[#This Row],[V 8]]*10+Tabel2[[#This Row],[GT 8]])/Tabel2[[#This Row],[AW 8]]*10+Tabel2[[#This Row],[BONUS 8]]</f>
        <v>0</v>
      </c>
      <c r="BK146">
        <v>1</v>
      </c>
      <c r="BO146" s="23">
        <f>SUM(Tabel2[[#This Row],[V 9]]*10+Tabel2[[#This Row],[GT 9]])/Tabel2[[#This Row],[AW 9]]*10+Tabel2[[#This Row],[BONUS 9]]</f>
        <v>0</v>
      </c>
      <c r="BQ146">
        <v>1</v>
      </c>
      <c r="BU146" s="23">
        <f>SUM(Tabel2[[#This Row],[V 10]]*10+Tabel2[[#This Row],[GT 10]])/Tabel2[[#This Row],[AW 10]]*10+Tabel2[[#This Row],[BONUS 10]]</f>
        <v>0</v>
      </c>
      <c r="BV1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22">
        <v>0</v>
      </c>
      <c r="BX146" s="30">
        <f>Tabel2[[#This Row],[Diploma]]-Tabel2[[#This Row],[Uitgeschreven]]</f>
        <v>0</v>
      </c>
      <c r="BY146" s="2" t="str">
        <f t="shared" si="16"/>
        <v>geen actie</v>
      </c>
      <c r="CA146" s="150">
        <f>Tabel2[[#This Row],[pnt t/m 2021/22]]</f>
        <v>191.54761904761904</v>
      </c>
      <c r="CB146" s="150">
        <f>Tabel2[[#This Row],[pnt 2022/2023]]</f>
        <v>0</v>
      </c>
      <c r="CC146" s="150">
        <f t="shared" si="22"/>
        <v>191.54761904761904</v>
      </c>
      <c r="CD146" s="150">
        <f>IF(Tabel2[[#This Row],[LPR 1]]&gt;0,1,0)</f>
        <v>0</v>
      </c>
      <c r="CE146" s="150">
        <f>IF(Tabel2[[#This Row],[LPR 2]]&gt;0,1,0)</f>
        <v>0</v>
      </c>
      <c r="CF146" s="150">
        <f>IF(Tabel2[[#This Row],[LPR 3]]&gt;0,1,0)</f>
        <v>0</v>
      </c>
      <c r="CG146" s="150">
        <f>IF(Tabel2[[#This Row],[LPR 4]]&gt;0,1,0)</f>
        <v>0</v>
      </c>
      <c r="CH146" s="150">
        <f>IF(Tabel2[[#This Row],[LPR 5]]&gt;0,1,0)</f>
        <v>0</v>
      </c>
      <c r="CI146" s="150">
        <f>IF(Tabel2[[#This Row],[LPR 6]]&gt;0,1,0)</f>
        <v>0</v>
      </c>
      <c r="CJ146" s="150">
        <f>IF(Tabel2[[#This Row],[LPR 7]]&gt;0,1,0)</f>
        <v>0</v>
      </c>
      <c r="CK146" s="150">
        <f>IF(Tabel2[[#This Row],[LPR 8]]&gt;0,1,0)</f>
        <v>0</v>
      </c>
      <c r="CL146" s="150">
        <f>IF(Tabel2[[#This Row],[LPR 9]]&gt;0,1,0)</f>
        <v>0</v>
      </c>
      <c r="CM146" s="150">
        <f>IF(Tabel2[[#This Row],[LPR 10]]&gt;0,1,0)</f>
        <v>0</v>
      </c>
      <c r="CN146" s="150">
        <f>SUM(Tabel7[[#This Row],[sep]:[jun]])</f>
        <v>0</v>
      </c>
      <c r="CO146" s="22" t="str">
        <f t="shared" si="17"/>
        <v/>
      </c>
      <c r="CP146" s="22" t="str">
        <f t="shared" si="18"/>
        <v/>
      </c>
      <c r="CQ146" s="22" t="str">
        <f t="shared" si="19"/>
        <v/>
      </c>
      <c r="CR146" s="22" t="str">
        <f t="shared" si="20"/>
        <v/>
      </c>
      <c r="CS146" s="22" t="str">
        <f t="shared" si="21"/>
        <v/>
      </c>
    </row>
    <row r="147" spans="1:97" x14ac:dyDescent="0.3">
      <c r="A147" s="22" t="s">
        <v>148</v>
      </c>
      <c r="B147" s="22" t="s">
        <v>149</v>
      </c>
      <c r="D147" s="22" t="s">
        <v>150</v>
      </c>
      <c r="E147" t="s">
        <v>330</v>
      </c>
      <c r="F147" s="22">
        <v>116760</v>
      </c>
      <c r="G147" s="25" t="s">
        <v>201</v>
      </c>
      <c r="H147" s="142">
        <f>Tabel2[[#This Row],[pnt t/m 2021/22]]+Tabel2[[#This Row],[pnt 2022/2023]]</f>
        <v>2582.666666666667</v>
      </c>
      <c r="I147">
        <v>2007</v>
      </c>
      <c r="J147">
        <v>2023</v>
      </c>
      <c r="K147" s="24">
        <f>Tabel2[[#This Row],[ijkdatum]]-Tabel2[[#This Row],[Geboren]]</f>
        <v>16</v>
      </c>
      <c r="L147" s="26">
        <f>Tabel2[[#This Row],[TTL 1]]+Tabel2[[#This Row],[TTL 2]]+Tabel2[[#This Row],[TTL 3]]+Tabel2[[#This Row],[TTL 4]]+Tabel2[[#This Row],[TTL 5]]+Tabel2[[#This Row],[TTL 6]]+Tabel2[[#This Row],[TTL 7]]+Tabel2[[#This Row],[TTL 8]]+Tabel2[[#This Row],[TTL 9]]+Tabel2[[#This Row],[TTL 10]]</f>
        <v>110</v>
      </c>
      <c r="M147" s="141">
        <v>2472.666666666667</v>
      </c>
      <c r="N147">
        <v>1</v>
      </c>
      <c r="O147">
        <v>10</v>
      </c>
      <c r="P147">
        <v>7</v>
      </c>
      <c r="Q147">
        <v>40</v>
      </c>
      <c r="S147" s="23">
        <f>SUM(Tabel2[[#This Row],[V 1]]*10+Tabel2[[#This Row],[GT 1]])/Tabel2[[#This Row],[AW 1]]*10+Tabel2[[#This Row],[BONUS 1]]</f>
        <v>110</v>
      </c>
      <c r="U147">
        <v>1</v>
      </c>
      <c r="Y147" s="23">
        <f>SUM(Tabel2[[#This Row],[V 2]]*10+Tabel2[[#This Row],[GT 2]])/Tabel2[[#This Row],[AW 2]]*10+Tabel2[[#This Row],[BONUS 2]]</f>
        <v>0</v>
      </c>
      <c r="AA147">
        <v>1</v>
      </c>
      <c r="AE147" s="23">
        <f>SUM(Tabel2[[#This Row],[V 3]]*10+Tabel2[[#This Row],[GT 3]])/Tabel2[[#This Row],[AW 3]]*10+Tabel2[[#This Row],[BONUS 3]]</f>
        <v>0</v>
      </c>
      <c r="AG147">
        <v>1</v>
      </c>
      <c r="AK147" s="23">
        <f>SUM(Tabel2[[#This Row],[V 4]]*10+Tabel2[[#This Row],[GT 4]])/Tabel2[[#This Row],[AW 4]]*10+Tabel2[[#This Row],[BONUS 4]]</f>
        <v>0</v>
      </c>
      <c r="AM147">
        <v>1</v>
      </c>
      <c r="AQ147" s="23">
        <f>SUM(Tabel2[[#This Row],[V 5]]*10+Tabel2[[#This Row],[GT 5]])/Tabel2[[#This Row],[AW 5]]*10+Tabel2[[#This Row],[BONUS 5]]</f>
        <v>0</v>
      </c>
      <c r="AS147">
        <v>1</v>
      </c>
      <c r="AW147" s="23">
        <f>SUM(Tabel2[[#This Row],[V 6]]*10+Tabel2[[#This Row],[GT 6]])/Tabel2[[#This Row],[AW 6]]*10+Tabel2[[#This Row],[BONUS 6]]</f>
        <v>0</v>
      </c>
      <c r="AY147">
        <v>1</v>
      </c>
      <c r="BC147" s="23">
        <f>SUM(Tabel2[[#This Row],[V 7]]*10+Tabel2[[#This Row],[GT 7]])/Tabel2[[#This Row],[AW 7]]*10+Tabel2[[#This Row],[BONUS 7]]</f>
        <v>0</v>
      </c>
      <c r="BE147">
        <v>1</v>
      </c>
      <c r="BI147" s="23">
        <f>SUM(Tabel2[[#This Row],[V 8]]*10+Tabel2[[#This Row],[GT 8]])/Tabel2[[#This Row],[AW 8]]*10+Tabel2[[#This Row],[BONUS 8]]</f>
        <v>0</v>
      </c>
      <c r="BK147">
        <v>1</v>
      </c>
      <c r="BO147" s="23">
        <f>SUM(Tabel2[[#This Row],[V 9]]*10+Tabel2[[#This Row],[GT 9]])/Tabel2[[#This Row],[AW 9]]*10+Tabel2[[#This Row],[BONUS 9]]</f>
        <v>0</v>
      </c>
      <c r="BQ147">
        <v>1</v>
      </c>
      <c r="BU147" s="23">
        <f>SUM(Tabel2[[#This Row],[V 10]]*10+Tabel2[[#This Row],[GT 10]])/Tabel2[[#This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47" s="22">
        <v>2500</v>
      </c>
      <c r="BX147" s="30">
        <f>Tabel2[[#This Row],[Diploma]]-Tabel2[[#This Row],[Uitgeschreven]]</f>
        <v>0</v>
      </c>
      <c r="BY147" s="2" t="str">
        <f t="shared" si="16"/>
        <v>geen actie</v>
      </c>
      <c r="CA147" s="150">
        <f>Tabel2[[#This Row],[pnt t/m 2021/22]]</f>
        <v>2472.666666666667</v>
      </c>
      <c r="CB147" s="150">
        <f>Tabel2[[#This Row],[pnt 2022/2023]]</f>
        <v>110</v>
      </c>
      <c r="CC147" s="150">
        <f t="shared" si="22"/>
        <v>2582.666666666667</v>
      </c>
      <c r="CD147" s="150">
        <f>IF(Tabel2[[#This Row],[LPR 1]]&gt;0,1,0)</f>
        <v>1</v>
      </c>
      <c r="CE147" s="150">
        <f>IF(Tabel2[[#This Row],[LPR 2]]&gt;0,1,0)</f>
        <v>0</v>
      </c>
      <c r="CF147" s="150">
        <f>IF(Tabel2[[#This Row],[LPR 3]]&gt;0,1,0)</f>
        <v>0</v>
      </c>
      <c r="CG147" s="150">
        <f>IF(Tabel2[[#This Row],[LPR 4]]&gt;0,1,0)</f>
        <v>0</v>
      </c>
      <c r="CH147" s="150">
        <f>IF(Tabel2[[#This Row],[LPR 5]]&gt;0,1,0)</f>
        <v>0</v>
      </c>
      <c r="CI147" s="150">
        <f>IF(Tabel2[[#This Row],[LPR 6]]&gt;0,1,0)</f>
        <v>0</v>
      </c>
      <c r="CJ147" s="150">
        <f>IF(Tabel2[[#This Row],[LPR 7]]&gt;0,1,0)</f>
        <v>0</v>
      </c>
      <c r="CK147" s="150">
        <f>IF(Tabel2[[#This Row],[LPR 8]]&gt;0,1,0)</f>
        <v>0</v>
      </c>
      <c r="CL147" s="150">
        <f>IF(Tabel2[[#This Row],[LPR 9]]&gt;0,1,0)</f>
        <v>0</v>
      </c>
      <c r="CM147" s="150">
        <f>IF(Tabel2[[#This Row],[LPR 10]]&gt;0,1,0)</f>
        <v>0</v>
      </c>
      <c r="CN147" s="150">
        <f>SUM(Tabel7[[#This Row],[sep]:[jun]])</f>
        <v>1</v>
      </c>
      <c r="CO147" s="22" t="str">
        <f t="shared" si="17"/>
        <v/>
      </c>
      <c r="CP147" s="22" t="str">
        <f t="shared" si="18"/>
        <v/>
      </c>
      <c r="CQ147" s="22" t="str">
        <f t="shared" si="19"/>
        <v/>
      </c>
      <c r="CR147" s="22" t="str">
        <f t="shared" si="20"/>
        <v>x</v>
      </c>
      <c r="CS147" s="22" t="str">
        <f t="shared" si="21"/>
        <v/>
      </c>
    </row>
    <row r="148" spans="1:97" x14ac:dyDescent="0.3">
      <c r="A148" s="22" t="s">
        <v>148</v>
      </c>
      <c r="B148" s="22" t="s">
        <v>149</v>
      </c>
      <c r="D148" s="22" t="s">
        <v>163</v>
      </c>
      <c r="E148" t="s">
        <v>331</v>
      </c>
      <c r="F148" s="22">
        <v>116743</v>
      </c>
      <c r="G148" s="25" t="s">
        <v>240</v>
      </c>
      <c r="H148" s="142">
        <f>Tabel2[[#This Row],[pnt t/m 2021/22]]+Tabel2[[#This Row],[pnt 2022/2023]]</f>
        <v>242</v>
      </c>
      <c r="I148">
        <v>2005</v>
      </c>
      <c r="J148">
        <v>2023</v>
      </c>
      <c r="K148" s="24">
        <f>Tabel2[[#This Row],[ijkdatum]]-Tabel2[[#This Row],[Geboren]]</f>
        <v>18</v>
      </c>
      <c r="L148" s="26">
        <f>Tabel2[[#This Row],[TTL 1]]+Tabel2[[#This Row],[TTL 2]]+Tabel2[[#This Row],[TTL 3]]+Tabel2[[#This Row],[TTL 4]]+Tabel2[[#This Row],[TTL 5]]+Tabel2[[#This Row],[TTL 6]]+Tabel2[[#This Row],[TTL 7]]+Tabel2[[#This Row],[TTL 8]]+Tabel2[[#This Row],[TTL 9]]+Tabel2[[#This Row],[TTL 10]]</f>
        <v>0</v>
      </c>
      <c r="M148" s="141">
        <v>242</v>
      </c>
      <c r="O148">
        <v>1</v>
      </c>
      <c r="S148" s="23">
        <f>SUM(Tabel2[[#This Row],[V 1]]*10+Tabel2[[#This Row],[GT 1]])/Tabel2[[#This Row],[AW 1]]*10+Tabel2[[#This Row],[BONUS 1]]</f>
        <v>0</v>
      </c>
      <c r="U148">
        <v>1</v>
      </c>
      <c r="Y148" s="23">
        <f>SUM(Tabel2[[#This Row],[V 2]]*10+Tabel2[[#This Row],[GT 2]])/Tabel2[[#This Row],[AW 2]]*10+Tabel2[[#This Row],[BONUS 2]]</f>
        <v>0</v>
      </c>
      <c r="AA148">
        <v>1</v>
      </c>
      <c r="AE148" s="23">
        <f>SUM(Tabel2[[#This Row],[V 3]]*10+Tabel2[[#This Row],[GT 3]])/Tabel2[[#This Row],[AW 3]]*10+Tabel2[[#This Row],[BONUS 3]]</f>
        <v>0</v>
      </c>
      <c r="AG148">
        <v>1</v>
      </c>
      <c r="AK148" s="23">
        <f>SUM(Tabel2[[#This Row],[V 4]]*10+Tabel2[[#This Row],[GT 4]])/Tabel2[[#This Row],[AW 4]]*10+Tabel2[[#This Row],[BONUS 4]]</f>
        <v>0</v>
      </c>
      <c r="AM148">
        <v>1</v>
      </c>
      <c r="AQ148" s="23">
        <f>SUM(Tabel2[[#This Row],[V 5]]*10+Tabel2[[#This Row],[GT 5]])/Tabel2[[#This Row],[AW 5]]*10+Tabel2[[#This Row],[BONUS 5]]</f>
        <v>0</v>
      </c>
      <c r="AS148">
        <v>1</v>
      </c>
      <c r="AW148" s="23">
        <f>SUM(Tabel2[[#This Row],[V 6]]*10+Tabel2[[#This Row],[GT 6]])/Tabel2[[#This Row],[AW 6]]*10+Tabel2[[#This Row],[BONUS 6]]</f>
        <v>0</v>
      </c>
      <c r="AY148">
        <v>1</v>
      </c>
      <c r="BC148" s="23">
        <f>SUM(Tabel2[[#This Row],[V 7]]*10+Tabel2[[#This Row],[GT 7]])/Tabel2[[#This Row],[AW 7]]*10+Tabel2[[#This Row],[BONUS 7]]</f>
        <v>0</v>
      </c>
      <c r="BE148">
        <v>1</v>
      </c>
      <c r="BI148" s="23">
        <f>SUM(Tabel2[[#This Row],[V 8]]*10+Tabel2[[#This Row],[GT 8]])/Tabel2[[#This Row],[AW 8]]*10+Tabel2[[#This Row],[BONUS 8]]</f>
        <v>0</v>
      </c>
      <c r="BK148">
        <v>1</v>
      </c>
      <c r="BO148" s="23">
        <f>SUM(Tabel2[[#This Row],[V 9]]*10+Tabel2[[#This Row],[GT 9]])/Tabel2[[#This Row],[AW 9]]*10+Tabel2[[#This Row],[BONUS 9]]</f>
        <v>0</v>
      </c>
      <c r="BQ148">
        <v>1</v>
      </c>
      <c r="BU148" s="23">
        <f>SUM(Tabel2[[#This Row],[V 10]]*10+Tabel2[[#This Row],[GT 10]])/Tabel2[[#This Row],[AW 10]]*10+Tabel2[[#This Row],[BONUS 10]]</f>
        <v>0</v>
      </c>
      <c r="BV1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48" s="30">
        <f>Tabel2[[#This Row],[Diploma]]-Tabel2[[#This Row],[Uitgeschreven]]</f>
        <v>0</v>
      </c>
      <c r="BY148" s="2" t="str">
        <f t="shared" si="16"/>
        <v>geen actie</v>
      </c>
      <c r="CA148" s="150">
        <f>Tabel2[[#This Row],[pnt t/m 2021/22]]</f>
        <v>242</v>
      </c>
      <c r="CB148" s="150">
        <f>Tabel2[[#This Row],[pnt 2022/2023]]</f>
        <v>0</v>
      </c>
      <c r="CC148" s="150">
        <f t="shared" si="22"/>
        <v>242</v>
      </c>
      <c r="CD148" s="150">
        <f>IF(Tabel2[[#This Row],[LPR 1]]&gt;0,1,0)</f>
        <v>0</v>
      </c>
      <c r="CE148" s="150">
        <f>IF(Tabel2[[#This Row],[LPR 2]]&gt;0,1,0)</f>
        <v>0</v>
      </c>
      <c r="CF148" s="150">
        <f>IF(Tabel2[[#This Row],[LPR 3]]&gt;0,1,0)</f>
        <v>0</v>
      </c>
      <c r="CG148" s="150">
        <f>IF(Tabel2[[#This Row],[LPR 4]]&gt;0,1,0)</f>
        <v>0</v>
      </c>
      <c r="CH148" s="150">
        <f>IF(Tabel2[[#This Row],[LPR 5]]&gt;0,1,0)</f>
        <v>0</v>
      </c>
      <c r="CI148" s="150">
        <f>IF(Tabel2[[#This Row],[LPR 6]]&gt;0,1,0)</f>
        <v>0</v>
      </c>
      <c r="CJ148" s="150">
        <f>IF(Tabel2[[#This Row],[LPR 7]]&gt;0,1,0)</f>
        <v>0</v>
      </c>
      <c r="CK148" s="150">
        <f>IF(Tabel2[[#This Row],[LPR 8]]&gt;0,1,0)</f>
        <v>0</v>
      </c>
      <c r="CL148" s="150">
        <f>IF(Tabel2[[#This Row],[LPR 9]]&gt;0,1,0)</f>
        <v>0</v>
      </c>
      <c r="CM148" s="150">
        <f>IF(Tabel2[[#This Row],[LPR 10]]&gt;0,1,0)</f>
        <v>0</v>
      </c>
      <c r="CN148" s="150">
        <f>SUM(Tabel7[[#This Row],[sep]:[jun]])</f>
        <v>0</v>
      </c>
      <c r="CO148" s="22" t="str">
        <f t="shared" si="17"/>
        <v/>
      </c>
      <c r="CP148" s="22" t="str">
        <f t="shared" si="18"/>
        <v/>
      </c>
      <c r="CQ148" s="22" t="str">
        <f t="shared" si="19"/>
        <v/>
      </c>
      <c r="CR148" s="22" t="str">
        <f t="shared" si="20"/>
        <v/>
      </c>
      <c r="CS148" s="22" t="str">
        <f t="shared" si="21"/>
        <v/>
      </c>
    </row>
    <row r="149" spans="1:97" x14ac:dyDescent="0.3">
      <c r="A149" s="22" t="s">
        <v>153</v>
      </c>
      <c r="B149" s="22" t="s">
        <v>149</v>
      </c>
      <c r="D149" s="22" t="s">
        <v>163</v>
      </c>
      <c r="E149" t="s">
        <v>332</v>
      </c>
      <c r="G149" s="25" t="s">
        <v>192</v>
      </c>
      <c r="H149" s="23">
        <f>Tabel2[[#This Row],[pnt t/m 2021/22]]+Tabel2[[#This Row],[pnt 2022/2023]]</f>
        <v>20</v>
      </c>
      <c r="I149">
        <v>2012</v>
      </c>
      <c r="J149">
        <v>2023</v>
      </c>
      <c r="K149" s="24">
        <f>Tabel2[[#This Row],[ijkdatum]]-Tabel2[[#This Row],[Geboren]]</f>
        <v>11</v>
      </c>
      <c r="L149" s="26">
        <f>Tabel2[[#This Row],[TTL 1]]+Tabel2[[#This Row],[TTL 2]]+Tabel2[[#This Row],[TTL 3]]+Tabel2[[#This Row],[TTL 4]]+Tabel2[[#This Row],[TTL 5]]+Tabel2[[#This Row],[TTL 6]]+Tabel2[[#This Row],[TTL 7]]+Tabel2[[#This Row],[TTL 8]]+Tabel2[[#This Row],[TTL 9]]+Tabel2[[#This Row],[TTL 10]]</f>
        <v>0</v>
      </c>
      <c r="M149" s="153">
        <v>20</v>
      </c>
      <c r="O149">
        <v>1</v>
      </c>
      <c r="S149" s="153">
        <f>SUM(Tabel2[[#This Row],[V 1]]*10+Tabel2[[#This Row],[GT 1]])/Tabel2[[#This Row],[AW 1]]*10+Tabel2[[#This Row],[BONUS 1]]</f>
        <v>0</v>
      </c>
      <c r="U149">
        <v>1</v>
      </c>
      <c r="Y149" s="153">
        <f>SUM(Tabel2[[#This Row],[V 2]]*10+Tabel2[[#This Row],[GT 2]])/Tabel2[[#This Row],[AW 2]]*10+Tabel2[[#This Row],[BONUS 2]]</f>
        <v>0</v>
      </c>
      <c r="AA149">
        <v>1</v>
      </c>
      <c r="AE149" s="153">
        <f>SUM(Tabel2[[#This Row],[V 3]]*10+Tabel2[[#This Row],[GT 3]])/Tabel2[[#This Row],[AW 3]]*10+Tabel2[[#This Row],[BONUS 3]]</f>
        <v>0</v>
      </c>
      <c r="AG149">
        <v>1</v>
      </c>
      <c r="AK149" s="153">
        <f>SUM(Tabel2[[#This Row],[V 4]]*10+Tabel2[[#This Row],[GT 4]])/Tabel2[[#This Row],[AW 4]]*10+Tabel2[[#This Row],[BONUS 4]]</f>
        <v>0</v>
      </c>
      <c r="AM149">
        <v>1</v>
      </c>
      <c r="AQ149" s="153">
        <f>SUM(Tabel2[[#This Row],[V 5]]*10+Tabel2[[#This Row],[GT 5]])/Tabel2[[#This Row],[AW 5]]*10+Tabel2[[#This Row],[BONUS 5]]</f>
        <v>0</v>
      </c>
      <c r="AS149">
        <v>1</v>
      </c>
      <c r="AW149" s="153">
        <f>SUM(Tabel2[[#This Row],[V 6]]*10+Tabel2[[#This Row],[GT 6]])/Tabel2[[#This Row],[AW 6]]*10+Tabel2[[#This Row],[BONUS 6]]</f>
        <v>0</v>
      </c>
      <c r="AY149">
        <v>1</v>
      </c>
      <c r="BC149" s="153">
        <f>SUM(Tabel2[[#This Row],[V 7]]*10+Tabel2[[#This Row],[GT 7]])/Tabel2[[#This Row],[AW 7]]*10+Tabel2[[#This Row],[BONUS 7]]</f>
        <v>0</v>
      </c>
      <c r="BE149">
        <v>1</v>
      </c>
      <c r="BI149" s="23">
        <f>SUM(Tabel2[[#This Row],[V 8]]*10+Tabel2[[#This Row],[GT 8]])/Tabel2[[#This Row],[AW 8]]*10+Tabel2[[#This Row],[BONUS 8]]</f>
        <v>0</v>
      </c>
      <c r="BK149">
        <v>1</v>
      </c>
      <c r="BO149" s="153">
        <f>SUM(Tabel2[[#This Row],[V 9]]*10+Tabel2[[#This Row],[GT 9]])/Tabel2[[#This Row],[AW 9]]*10+Tabel2[[#This Row],[BONUS 9]]</f>
        <v>0</v>
      </c>
      <c r="BQ149">
        <v>1</v>
      </c>
      <c r="BU149" s="23">
        <f>SUM(Tabel2[[#This Row],[V 10]]*10+Tabel2[[#This Row],[GT 10]])/Tabel2[[#This Row],[AW 10]]*10+Tabel2[[#This Row],[BONUS 10]]</f>
        <v>0</v>
      </c>
      <c r="BV1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9" s="22">
        <v>0</v>
      </c>
      <c r="BX149" s="22">
        <f>Tabel2[[#This Row],[Diploma]]-Tabel2[[#This Row],[Uitgeschreven]]</f>
        <v>0</v>
      </c>
      <c r="BY149" s="155" t="str">
        <f t="shared" si="16"/>
        <v>geen actie</v>
      </c>
      <c r="CA149" s="150">
        <f>Tabel2[[#This Row],[pnt t/m 2021/22]]</f>
        <v>20</v>
      </c>
      <c r="CB149" s="150">
        <f>Tabel2[[#This Row],[pnt 2022/2023]]</f>
        <v>0</v>
      </c>
      <c r="CC149" s="150">
        <f t="shared" si="22"/>
        <v>20</v>
      </c>
      <c r="CD149" s="150">
        <f>IF(Tabel2[[#This Row],[LPR 1]]&gt;0,1,0)</f>
        <v>0</v>
      </c>
      <c r="CE149" s="150">
        <f>IF(Tabel2[[#This Row],[LPR 2]]&gt;0,1,0)</f>
        <v>0</v>
      </c>
      <c r="CF149" s="150">
        <f>IF(Tabel2[[#This Row],[LPR 3]]&gt;0,1,0)</f>
        <v>0</v>
      </c>
      <c r="CG149" s="150">
        <f>IF(Tabel2[[#This Row],[LPR 4]]&gt;0,1,0)</f>
        <v>0</v>
      </c>
      <c r="CH149" s="150">
        <f>IF(Tabel2[[#This Row],[LPR 5]]&gt;0,1,0)</f>
        <v>0</v>
      </c>
      <c r="CI149" s="150">
        <f>IF(Tabel2[[#This Row],[LPR 6]]&gt;0,1,0)</f>
        <v>0</v>
      </c>
      <c r="CJ149" s="150">
        <f>IF(Tabel2[[#This Row],[LPR 7]]&gt;0,1,0)</f>
        <v>0</v>
      </c>
      <c r="CK149" s="150">
        <f>IF(Tabel2[[#This Row],[LPR 8]]&gt;0,1,0)</f>
        <v>0</v>
      </c>
      <c r="CL149" s="150">
        <f>IF(Tabel2[[#This Row],[LPR 9]]&gt;0,1,0)</f>
        <v>0</v>
      </c>
      <c r="CM149" s="150">
        <f>IF(Tabel2[[#This Row],[LPR 10]]&gt;0,1,0)</f>
        <v>0</v>
      </c>
      <c r="CN149" s="150">
        <f>SUM(Tabel7[[#This Row],[sep]:[jun]])</f>
        <v>0</v>
      </c>
      <c r="CO149" s="22" t="str">
        <f t="shared" si="17"/>
        <v/>
      </c>
      <c r="CP149" s="22" t="str">
        <f t="shared" si="18"/>
        <v/>
      </c>
      <c r="CQ149" s="22" t="str">
        <f t="shared" si="19"/>
        <v/>
      </c>
      <c r="CR149" s="22" t="str">
        <f t="shared" si="20"/>
        <v/>
      </c>
      <c r="CS149" s="22" t="str">
        <f t="shared" si="21"/>
        <v/>
      </c>
    </row>
    <row r="150" spans="1:97" x14ac:dyDescent="0.3">
      <c r="A150" s="22" t="s">
        <v>190</v>
      </c>
      <c r="B150" s="22" t="s">
        <v>149</v>
      </c>
      <c r="D150" s="22" t="s">
        <v>163</v>
      </c>
      <c r="E150" t="s">
        <v>333</v>
      </c>
      <c r="G150" s="25" t="s">
        <v>192</v>
      </c>
      <c r="H150" s="23">
        <f>Tabel2[[#This Row],[pnt t/m 2021/22]]+Tabel2[[#This Row],[pnt 2022/2023]]</f>
        <v>98.541666666666657</v>
      </c>
      <c r="I150">
        <v>2014</v>
      </c>
      <c r="J150">
        <v>2023</v>
      </c>
      <c r="K150" s="24">
        <f>Tabel2[[#This Row],[ijkdatum]]-Tabel2[[#This Row],[Geboren]]</f>
        <v>9</v>
      </c>
      <c r="L150" s="26">
        <f>Tabel2[[#This Row],[TTL 1]]+Tabel2[[#This Row],[TTL 2]]+Tabel2[[#This Row],[TTL 3]]+Tabel2[[#This Row],[TTL 4]]+Tabel2[[#This Row],[TTL 5]]+Tabel2[[#This Row],[TTL 6]]+Tabel2[[#This Row],[TTL 7]]+Tabel2[[#This Row],[TTL 8]]+Tabel2[[#This Row],[TTL 9]]+Tabel2[[#This Row],[TTL 10]]</f>
        <v>0</v>
      </c>
      <c r="M150" s="153">
        <v>98.541666666666657</v>
      </c>
      <c r="O150">
        <v>1</v>
      </c>
      <c r="S150" s="153">
        <f>SUM(Tabel2[[#This Row],[V 1]]*10+Tabel2[[#This Row],[GT 1]])/Tabel2[[#This Row],[AW 1]]*10+Tabel2[[#This Row],[BONUS 1]]</f>
        <v>0</v>
      </c>
      <c r="U150">
        <v>1</v>
      </c>
      <c r="Y150" s="153">
        <f>SUM(Tabel2[[#This Row],[V 2]]*10+Tabel2[[#This Row],[GT 2]])/Tabel2[[#This Row],[AW 2]]*10+Tabel2[[#This Row],[BONUS 2]]</f>
        <v>0</v>
      </c>
      <c r="AA150">
        <v>1</v>
      </c>
      <c r="AE150" s="153">
        <f>SUM(Tabel2[[#This Row],[V 3]]*10+Tabel2[[#This Row],[GT 3]])/Tabel2[[#This Row],[AW 3]]*10+Tabel2[[#This Row],[BONUS 3]]</f>
        <v>0</v>
      </c>
      <c r="AG150">
        <v>1</v>
      </c>
      <c r="AK150" s="153">
        <f>SUM(Tabel2[[#This Row],[V 4]]*10+Tabel2[[#This Row],[GT 4]])/Tabel2[[#This Row],[AW 4]]*10+Tabel2[[#This Row],[BONUS 4]]</f>
        <v>0</v>
      </c>
      <c r="AM150">
        <v>1</v>
      </c>
      <c r="AQ150" s="153">
        <f>SUM(Tabel2[[#This Row],[V 5]]*10+Tabel2[[#This Row],[GT 5]])/Tabel2[[#This Row],[AW 5]]*10+Tabel2[[#This Row],[BONUS 5]]</f>
        <v>0</v>
      </c>
      <c r="AS150">
        <v>1</v>
      </c>
      <c r="AW150" s="153">
        <f>SUM(Tabel2[[#This Row],[V 6]]*10+Tabel2[[#This Row],[GT 6]])/Tabel2[[#This Row],[AW 6]]*10+Tabel2[[#This Row],[BONUS 6]]</f>
        <v>0</v>
      </c>
      <c r="AY150">
        <v>1</v>
      </c>
      <c r="BC150" s="153">
        <f>SUM(Tabel2[[#This Row],[V 7]]*10+Tabel2[[#This Row],[GT 7]])/Tabel2[[#This Row],[AW 7]]*10+Tabel2[[#This Row],[BONUS 7]]</f>
        <v>0</v>
      </c>
      <c r="BE150">
        <v>1</v>
      </c>
      <c r="BI150" s="23">
        <f>SUM(Tabel2[[#This Row],[V 8]]*10+Tabel2[[#This Row],[GT 8]])/Tabel2[[#This Row],[AW 8]]*10+Tabel2[[#This Row],[BONUS 8]]</f>
        <v>0</v>
      </c>
      <c r="BK150">
        <v>1</v>
      </c>
      <c r="BO150" s="153">
        <f>SUM(Tabel2[[#This Row],[V 9]]*10+Tabel2[[#This Row],[GT 9]])/Tabel2[[#This Row],[AW 9]]*10+Tabel2[[#This Row],[BONUS 9]]</f>
        <v>0</v>
      </c>
      <c r="BQ150">
        <v>1</v>
      </c>
      <c r="BU150" s="23">
        <f>SUM(Tabel2[[#This Row],[V 10]]*10+Tabel2[[#This Row],[GT 10]])/Tabel2[[#This Row],[AW 10]]*10+Tabel2[[#This Row],[BONUS 10]]</f>
        <v>0</v>
      </c>
      <c r="BV15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0" s="22">
        <v>0</v>
      </c>
      <c r="BX150" s="22">
        <f>Tabel2[[#This Row],[Diploma]]-Tabel2[[#This Row],[Uitgeschreven]]</f>
        <v>0</v>
      </c>
      <c r="BY150" s="155" t="str">
        <f t="shared" si="16"/>
        <v>geen actie</v>
      </c>
      <c r="CA150" s="150">
        <f>Tabel2[[#This Row],[pnt t/m 2021/22]]</f>
        <v>98.541666666666657</v>
      </c>
      <c r="CB150" s="150">
        <f>Tabel2[[#This Row],[pnt 2022/2023]]</f>
        <v>0</v>
      </c>
      <c r="CC150" s="150">
        <f t="shared" si="22"/>
        <v>98.541666666666657</v>
      </c>
      <c r="CD150" s="150">
        <f>IF(Tabel2[[#This Row],[LPR 1]]&gt;0,1,0)</f>
        <v>0</v>
      </c>
      <c r="CE150" s="150">
        <f>IF(Tabel2[[#This Row],[LPR 2]]&gt;0,1,0)</f>
        <v>0</v>
      </c>
      <c r="CF150" s="150">
        <f>IF(Tabel2[[#This Row],[LPR 3]]&gt;0,1,0)</f>
        <v>0</v>
      </c>
      <c r="CG150" s="150">
        <f>IF(Tabel2[[#This Row],[LPR 4]]&gt;0,1,0)</f>
        <v>0</v>
      </c>
      <c r="CH150" s="150">
        <f>IF(Tabel2[[#This Row],[LPR 5]]&gt;0,1,0)</f>
        <v>0</v>
      </c>
      <c r="CI150" s="150">
        <f>IF(Tabel2[[#This Row],[LPR 6]]&gt;0,1,0)</f>
        <v>0</v>
      </c>
      <c r="CJ150" s="150">
        <f>IF(Tabel2[[#This Row],[LPR 7]]&gt;0,1,0)</f>
        <v>0</v>
      </c>
      <c r="CK150" s="150">
        <f>IF(Tabel2[[#This Row],[LPR 8]]&gt;0,1,0)</f>
        <v>0</v>
      </c>
      <c r="CL150" s="150">
        <f>IF(Tabel2[[#This Row],[LPR 9]]&gt;0,1,0)</f>
        <v>0</v>
      </c>
      <c r="CM150" s="150">
        <f>IF(Tabel2[[#This Row],[LPR 10]]&gt;0,1,0)</f>
        <v>0</v>
      </c>
      <c r="CN150" s="150">
        <f>SUM(Tabel7[[#This Row],[sep]:[jun]])</f>
        <v>0</v>
      </c>
      <c r="CO150" s="22" t="str">
        <f t="shared" si="17"/>
        <v/>
      </c>
      <c r="CP150" s="22" t="str">
        <f t="shared" si="18"/>
        <v/>
      </c>
      <c r="CQ150" s="22" t="str">
        <f t="shared" si="19"/>
        <v/>
      </c>
      <c r="CR150" s="22" t="str">
        <f t="shared" si="20"/>
        <v/>
      </c>
      <c r="CS150" s="22" t="str">
        <f t="shared" si="21"/>
        <v/>
      </c>
    </row>
    <row r="151" spans="1:97" x14ac:dyDescent="0.3">
      <c r="A151" s="22" t="s">
        <v>173</v>
      </c>
      <c r="B151" s="22" t="s">
        <v>149</v>
      </c>
      <c r="D151" s="22" t="s">
        <v>150</v>
      </c>
      <c r="E151" t="s">
        <v>334</v>
      </c>
      <c r="F151" s="22">
        <v>118547</v>
      </c>
      <c r="G151" s="25" t="s">
        <v>169</v>
      </c>
      <c r="H151" s="142">
        <f>Tabel2[[#This Row],[pnt t/m 2021/22]]+Tabel2[[#This Row],[pnt 2022/2023]]</f>
        <v>874.71645021645031</v>
      </c>
      <c r="I151">
        <v>2012</v>
      </c>
      <c r="J151">
        <v>2023</v>
      </c>
      <c r="K151" s="24">
        <f>Tabel2[[#This Row],[ijkdatum]]-Tabel2[[#This Row],[Geboren]]</f>
        <v>11</v>
      </c>
      <c r="L151" s="26">
        <f>Tabel2[[#This Row],[TTL 1]]+Tabel2[[#This Row],[TTL 2]]+Tabel2[[#This Row],[TTL 3]]+Tabel2[[#This Row],[TTL 4]]+Tabel2[[#This Row],[TTL 5]]+Tabel2[[#This Row],[TTL 6]]+Tabel2[[#This Row],[TTL 7]]+Tabel2[[#This Row],[TTL 8]]+Tabel2[[#This Row],[TTL 9]]+Tabel2[[#This Row],[TTL 10]]</f>
        <v>126</v>
      </c>
      <c r="M151" s="141">
        <v>748.71645021645031</v>
      </c>
      <c r="O151">
        <v>1</v>
      </c>
      <c r="S151" s="23">
        <f>SUM(Tabel2[[#This Row],[V 1]]*10+Tabel2[[#This Row],[GT 1]])/Tabel2[[#This Row],[AW 1]]*10+Tabel2[[#This Row],[BONUS 1]]</f>
        <v>0</v>
      </c>
      <c r="T151">
        <v>3</v>
      </c>
      <c r="U151">
        <v>10</v>
      </c>
      <c r="V151">
        <v>8</v>
      </c>
      <c r="W151">
        <v>46</v>
      </c>
      <c r="Y151" s="23">
        <f>SUM(Tabel2[[#This Row],[V 2]]*10+Tabel2[[#This Row],[GT 2]])/Tabel2[[#This Row],[AW 2]]*10+Tabel2[[#This Row],[BONUS 2]]</f>
        <v>126</v>
      </c>
      <c r="AA151">
        <v>1</v>
      </c>
      <c r="AE151" s="23">
        <f>SUM(Tabel2[[#This Row],[V 3]]*10+Tabel2[[#This Row],[GT 3]])/Tabel2[[#This Row],[AW 3]]*10+Tabel2[[#This Row],[BONUS 3]]</f>
        <v>0</v>
      </c>
      <c r="AG151">
        <v>1</v>
      </c>
      <c r="AK151" s="23">
        <f>SUM(Tabel2[[#This Row],[V 4]]*10+Tabel2[[#This Row],[GT 4]])/Tabel2[[#This Row],[AW 4]]*10+Tabel2[[#This Row],[BONUS 4]]</f>
        <v>0</v>
      </c>
      <c r="AM151">
        <v>1</v>
      </c>
      <c r="AQ151" s="23">
        <f>SUM(Tabel2[[#This Row],[V 5]]*10+Tabel2[[#This Row],[GT 5]])/Tabel2[[#This Row],[AW 5]]*10+Tabel2[[#This Row],[BONUS 5]]</f>
        <v>0</v>
      </c>
      <c r="AS151">
        <v>1</v>
      </c>
      <c r="AW151" s="23">
        <f>SUM(Tabel2[[#This Row],[V 6]]*10+Tabel2[[#This Row],[GT 6]])/Tabel2[[#This Row],[AW 6]]*10+Tabel2[[#This Row],[BONUS 6]]</f>
        <v>0</v>
      </c>
      <c r="AY151">
        <v>1</v>
      </c>
      <c r="BC151" s="23">
        <f>SUM(Tabel2[[#This Row],[V 7]]*10+Tabel2[[#This Row],[GT 7]])/Tabel2[[#This Row],[AW 7]]*10+Tabel2[[#This Row],[BONUS 7]]</f>
        <v>0</v>
      </c>
      <c r="BE151">
        <v>1</v>
      </c>
      <c r="BI151" s="23">
        <f>SUM(Tabel2[[#This Row],[V 8]]*10+Tabel2[[#This Row],[GT 8]])/Tabel2[[#This Row],[AW 8]]*10+Tabel2[[#This Row],[BONUS 8]]</f>
        <v>0</v>
      </c>
      <c r="BK151">
        <v>1</v>
      </c>
      <c r="BO151" s="23">
        <f>SUM(Tabel2[[#This Row],[V 9]]*10+Tabel2[[#This Row],[GT 9]])/Tabel2[[#This Row],[AW 9]]*10+Tabel2[[#This Row],[BONUS 9]]</f>
        <v>0</v>
      </c>
      <c r="BQ151">
        <v>1</v>
      </c>
      <c r="BU151" s="23">
        <f>SUM(Tabel2[[#This Row],[V 10]]*10+Tabel2[[#This Row],[GT 10]])/Tabel2[[#This Row],[AW 10]]*10+Tabel2[[#This Row],[BONUS 10]]</f>
        <v>0</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1" s="22">
        <v>750</v>
      </c>
      <c r="BX151" s="30">
        <f>Tabel2[[#This Row],[Diploma]]-Tabel2[[#This Row],[Uitgeschreven]]</f>
        <v>0</v>
      </c>
      <c r="BY151" s="2" t="str">
        <f t="shared" si="16"/>
        <v>geen actie</v>
      </c>
      <c r="CA151" s="150">
        <f>Tabel2[[#This Row],[pnt t/m 2021/22]]</f>
        <v>748.71645021645031</v>
      </c>
      <c r="CB151" s="150">
        <f>Tabel2[[#This Row],[pnt 2022/2023]]</f>
        <v>126</v>
      </c>
      <c r="CC151" s="150">
        <f t="shared" si="22"/>
        <v>874.71645021645031</v>
      </c>
      <c r="CD151" s="150">
        <f>IF(Tabel2[[#This Row],[LPR 1]]&gt;0,1,0)</f>
        <v>0</v>
      </c>
      <c r="CE151" s="150">
        <f>IF(Tabel2[[#This Row],[LPR 2]]&gt;0,1,0)</f>
        <v>1</v>
      </c>
      <c r="CF151" s="150">
        <f>IF(Tabel2[[#This Row],[LPR 3]]&gt;0,1,0)</f>
        <v>0</v>
      </c>
      <c r="CG151" s="150">
        <f>IF(Tabel2[[#This Row],[LPR 4]]&gt;0,1,0)</f>
        <v>0</v>
      </c>
      <c r="CH151" s="150">
        <f>IF(Tabel2[[#This Row],[LPR 5]]&gt;0,1,0)</f>
        <v>0</v>
      </c>
      <c r="CI151" s="150">
        <f>IF(Tabel2[[#This Row],[LPR 6]]&gt;0,1,0)</f>
        <v>0</v>
      </c>
      <c r="CJ151" s="150">
        <f>IF(Tabel2[[#This Row],[LPR 7]]&gt;0,1,0)</f>
        <v>0</v>
      </c>
      <c r="CK151" s="150">
        <f>IF(Tabel2[[#This Row],[LPR 8]]&gt;0,1,0)</f>
        <v>0</v>
      </c>
      <c r="CL151" s="150">
        <f>IF(Tabel2[[#This Row],[LPR 9]]&gt;0,1,0)</f>
        <v>0</v>
      </c>
      <c r="CM151" s="150">
        <f>IF(Tabel2[[#This Row],[LPR 10]]&gt;0,1,0)</f>
        <v>0</v>
      </c>
      <c r="CN151" s="150">
        <f>SUM(Tabel7[[#This Row],[sep]:[jun]])</f>
        <v>1</v>
      </c>
      <c r="CO151" s="22" t="str">
        <f t="shared" si="17"/>
        <v/>
      </c>
      <c r="CP151" s="22" t="str">
        <f t="shared" si="18"/>
        <v/>
      </c>
      <c r="CQ151" s="22" t="str">
        <f t="shared" si="19"/>
        <v/>
      </c>
      <c r="CR151" s="22" t="str">
        <f t="shared" si="20"/>
        <v/>
      </c>
      <c r="CS151" s="22" t="str">
        <f t="shared" si="21"/>
        <v/>
      </c>
    </row>
    <row r="152" spans="1:97" x14ac:dyDescent="0.3">
      <c r="A152" s="22" t="s">
        <v>148</v>
      </c>
      <c r="B152" s="22" t="s">
        <v>149</v>
      </c>
      <c r="D152" s="22" t="s">
        <v>150</v>
      </c>
      <c r="E152" t="s">
        <v>335</v>
      </c>
      <c r="F152" s="22">
        <v>119699</v>
      </c>
      <c r="G152" s="25" t="s">
        <v>198</v>
      </c>
      <c r="H152" s="23">
        <f>Tabel2[[#This Row],[pnt t/m 2021/22]]+Tabel2[[#This Row],[pnt 2022/2023]]</f>
        <v>673.6940836940837</v>
      </c>
      <c r="I152">
        <v>2011</v>
      </c>
      <c r="J152">
        <v>2023</v>
      </c>
      <c r="K152" s="24">
        <f>Tabel2[[#This Row],[ijkdatum]]-Tabel2[[#This Row],[Geboren]]</f>
        <v>12</v>
      </c>
      <c r="L152" s="26">
        <f>Tabel2[[#This Row],[TTL 1]]+Tabel2[[#This Row],[TTL 2]]+Tabel2[[#This Row],[TTL 3]]+Tabel2[[#This Row],[TTL 4]]+Tabel2[[#This Row],[TTL 5]]+Tabel2[[#This Row],[TTL 6]]+Tabel2[[#This Row],[TTL 7]]+Tabel2[[#This Row],[TTL 8]]+Tabel2[[#This Row],[TTL 9]]+Tabel2[[#This Row],[TTL 10]]</f>
        <v>187.5</v>
      </c>
      <c r="M152" s="153">
        <v>486.1940836940837</v>
      </c>
      <c r="N152">
        <v>2</v>
      </c>
      <c r="O152">
        <v>6</v>
      </c>
      <c r="P152">
        <v>3</v>
      </c>
      <c r="Q152">
        <v>12</v>
      </c>
      <c r="S152" s="23">
        <f>SUM(Tabel2[[#This Row],[V 1]]*10+Tabel2[[#This Row],[GT 1]])/Tabel2[[#This Row],[AW 1]]*10+Tabel2[[#This Row],[BONUS 1]]</f>
        <v>70</v>
      </c>
      <c r="U152">
        <v>1</v>
      </c>
      <c r="Y152" s="153">
        <f>SUM(Tabel2[[#This Row],[V 2]]*10+Tabel2[[#This Row],[GT 2]])/Tabel2[[#This Row],[AW 2]]*10+Tabel2[[#This Row],[BONUS 2]]</f>
        <v>0</v>
      </c>
      <c r="Z152">
        <v>2</v>
      </c>
      <c r="AA152">
        <v>8</v>
      </c>
      <c r="AB152">
        <v>6</v>
      </c>
      <c r="AC152">
        <v>34</v>
      </c>
      <c r="AE152" s="23">
        <f>SUM(Tabel2[[#This Row],[V 3]]*10+Tabel2[[#This Row],[GT 3]])/Tabel2[[#This Row],[AW 3]]*10+Tabel2[[#This Row],[BONUS 3]]</f>
        <v>117.5</v>
      </c>
      <c r="AG152">
        <v>1</v>
      </c>
      <c r="AK152" s="153">
        <f>SUM(Tabel2[[#This Row],[V 4]]*10+Tabel2[[#This Row],[GT 4]])/Tabel2[[#This Row],[AW 4]]*10+Tabel2[[#This Row],[BONUS 4]]</f>
        <v>0</v>
      </c>
      <c r="AM152">
        <v>1</v>
      </c>
      <c r="AQ152" s="153">
        <f>SUM(Tabel2[[#This Row],[V 5]]*10+Tabel2[[#This Row],[GT 5]])/Tabel2[[#This Row],[AW 5]]*10+Tabel2[[#This Row],[BONUS 5]]</f>
        <v>0</v>
      </c>
      <c r="AS152">
        <v>1</v>
      </c>
      <c r="AW152" s="153">
        <f>SUM(Tabel2[[#This Row],[V 6]]*10+Tabel2[[#This Row],[GT 6]])/Tabel2[[#This Row],[AW 6]]*10+Tabel2[[#This Row],[BONUS 6]]</f>
        <v>0</v>
      </c>
      <c r="AY152">
        <v>1</v>
      </c>
      <c r="BC152" s="23">
        <f>SUM(Tabel2[[#This Row],[V 7]]*10+Tabel2[[#This Row],[GT 7]])/Tabel2[[#This Row],[AW 7]]*10+Tabel2[[#This Row],[BONUS 7]]</f>
        <v>0</v>
      </c>
      <c r="BE152">
        <v>1</v>
      </c>
      <c r="BI152" s="153">
        <f>SUM(Tabel2[[#This Row],[V 8]]*10+Tabel2[[#This Row],[GT 8]])/Tabel2[[#This Row],[AW 8]]*10+Tabel2[[#This Row],[BONUS 8]]</f>
        <v>0</v>
      </c>
      <c r="BK152">
        <v>1</v>
      </c>
      <c r="BO152" s="153">
        <f>SUM(Tabel2[[#This Row],[V 9]]*10+Tabel2[[#This Row],[GT 9]])/Tabel2[[#This Row],[AW 9]]*10+Tabel2[[#This Row],[BONUS 9]]</f>
        <v>0</v>
      </c>
      <c r="BQ152">
        <v>1</v>
      </c>
      <c r="BU152" s="23">
        <f>SUM(Tabel2[[#This Row],[V 10]]*10+Tabel2[[#This Row],[GT 10]])/Tabel2[[#This Row],[AW 10]]*10+Tabel2[[#This Row],[BONUS 10]]</f>
        <v>0</v>
      </c>
      <c r="BV15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2" s="22">
        <v>500</v>
      </c>
      <c r="BX152" s="22">
        <f>Tabel2[[#This Row],[Diploma]]-Tabel2[[#This Row],[Uitgeschreven]]</f>
        <v>0</v>
      </c>
      <c r="BY152" s="155" t="str">
        <f t="shared" si="16"/>
        <v>geen actie</v>
      </c>
      <c r="CA152" s="150">
        <f>Tabel2[[#This Row],[pnt t/m 2021/22]]</f>
        <v>486.1940836940837</v>
      </c>
      <c r="CB152" s="150">
        <f>Tabel2[[#This Row],[pnt 2022/2023]]</f>
        <v>187.5</v>
      </c>
      <c r="CC152" s="150">
        <f t="shared" si="22"/>
        <v>673.6940836940837</v>
      </c>
      <c r="CD152" s="150">
        <f>IF(Tabel2[[#This Row],[LPR 1]]&gt;0,1,0)</f>
        <v>1</v>
      </c>
      <c r="CE152" s="150">
        <f>IF(Tabel2[[#This Row],[LPR 2]]&gt;0,1,0)</f>
        <v>0</v>
      </c>
      <c r="CF152" s="150">
        <f>IF(Tabel2[[#This Row],[LPR 3]]&gt;0,1,0)</f>
        <v>1</v>
      </c>
      <c r="CG152" s="150">
        <f>IF(Tabel2[[#This Row],[LPR 4]]&gt;0,1,0)</f>
        <v>0</v>
      </c>
      <c r="CH152" s="150">
        <f>IF(Tabel2[[#This Row],[LPR 5]]&gt;0,1,0)</f>
        <v>0</v>
      </c>
      <c r="CI152" s="150">
        <f>IF(Tabel2[[#This Row],[LPR 6]]&gt;0,1,0)</f>
        <v>0</v>
      </c>
      <c r="CJ152" s="150">
        <f>IF(Tabel2[[#This Row],[LPR 7]]&gt;0,1,0)</f>
        <v>0</v>
      </c>
      <c r="CK152" s="150">
        <f>IF(Tabel2[[#This Row],[LPR 8]]&gt;0,1,0)</f>
        <v>0</v>
      </c>
      <c r="CL152" s="150">
        <f>IF(Tabel2[[#This Row],[LPR 9]]&gt;0,1,0)</f>
        <v>0</v>
      </c>
      <c r="CM152" s="150">
        <f>IF(Tabel2[[#This Row],[LPR 10]]&gt;0,1,0)</f>
        <v>0</v>
      </c>
      <c r="CN152" s="150">
        <f>SUM(Tabel7[[#This Row],[sep]:[jun]])</f>
        <v>2</v>
      </c>
      <c r="CO152" s="22" t="str">
        <f t="shared" si="17"/>
        <v/>
      </c>
      <c r="CP152" s="22" t="str">
        <f t="shared" si="18"/>
        <v/>
      </c>
      <c r="CQ152" s="22" t="str">
        <f t="shared" si="19"/>
        <v/>
      </c>
      <c r="CR152" s="22" t="str">
        <f t="shared" si="20"/>
        <v/>
      </c>
      <c r="CS152" s="22" t="str">
        <f t="shared" si="21"/>
        <v/>
      </c>
    </row>
    <row r="153" spans="1:97" x14ac:dyDescent="0.3">
      <c r="A153" s="22" t="s">
        <v>156</v>
      </c>
      <c r="B153" s="22" t="s">
        <v>149</v>
      </c>
      <c r="D153" s="22" t="s">
        <v>163</v>
      </c>
      <c r="E153" t="s">
        <v>336</v>
      </c>
      <c r="F153" s="22">
        <v>118285</v>
      </c>
      <c r="G153" s="25" t="s">
        <v>171</v>
      </c>
      <c r="H153" s="142">
        <f>Tabel2[[#This Row],[pnt t/m 2021/22]]+Tabel2[[#This Row],[pnt 2022/2023]]</f>
        <v>404</v>
      </c>
      <c r="I153">
        <v>2009</v>
      </c>
      <c r="J153">
        <v>2023</v>
      </c>
      <c r="K153" s="24">
        <f>Tabel2[[#This Row],[ijkdatum]]-Tabel2[[#This Row],[Geboren]]</f>
        <v>14</v>
      </c>
      <c r="L153" s="26">
        <f>Tabel2[[#This Row],[TTL 1]]+Tabel2[[#This Row],[TTL 2]]+Tabel2[[#This Row],[TTL 3]]+Tabel2[[#This Row],[TTL 4]]+Tabel2[[#This Row],[TTL 5]]+Tabel2[[#This Row],[TTL 6]]+Tabel2[[#This Row],[TTL 7]]+Tabel2[[#This Row],[TTL 8]]+Tabel2[[#This Row],[TTL 9]]+Tabel2[[#This Row],[TTL 10]]</f>
        <v>0</v>
      </c>
      <c r="M153" s="141">
        <v>404</v>
      </c>
      <c r="O153">
        <v>1</v>
      </c>
      <c r="S153" s="2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G153">
        <v>1</v>
      </c>
      <c r="AK153" s="23">
        <f>SUM(Tabel2[[#This Row],[V 4]]*10+Tabel2[[#This Row],[GT 4]])/Tabel2[[#This Row],[AW 4]]*10+Tabel2[[#This Row],[BONUS 4]]</f>
        <v>0</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3" s="22">
        <v>250</v>
      </c>
      <c r="BX153" s="30">
        <f>Tabel2[[#This Row],[Diploma]]-Tabel2[[#This Row],[Uitgeschreven]]</f>
        <v>0</v>
      </c>
      <c r="BY153" s="2" t="str">
        <f t="shared" si="16"/>
        <v>geen actie</v>
      </c>
      <c r="CA153" s="150">
        <f>Tabel2[[#This Row],[pnt t/m 2021/22]]</f>
        <v>404</v>
      </c>
      <c r="CB153" s="150">
        <f>Tabel2[[#This Row],[pnt 2022/2023]]</f>
        <v>0</v>
      </c>
      <c r="CC153" s="150">
        <f t="shared" si="22"/>
        <v>404</v>
      </c>
      <c r="CD153" s="150">
        <f>IF(Tabel2[[#This Row],[LPR 1]]&gt;0,1,0)</f>
        <v>0</v>
      </c>
      <c r="CE153" s="150">
        <f>IF(Tabel2[[#This Row],[LPR 2]]&gt;0,1,0)</f>
        <v>0</v>
      </c>
      <c r="CF153" s="150">
        <f>IF(Tabel2[[#This Row],[LPR 3]]&gt;0,1,0)</f>
        <v>0</v>
      </c>
      <c r="CG153" s="150">
        <f>IF(Tabel2[[#This Row],[LPR 4]]&gt;0,1,0)</f>
        <v>0</v>
      </c>
      <c r="CH153" s="150">
        <f>IF(Tabel2[[#This Row],[LPR 5]]&gt;0,1,0)</f>
        <v>0</v>
      </c>
      <c r="CI153" s="150">
        <f>IF(Tabel2[[#This Row],[LPR 6]]&gt;0,1,0)</f>
        <v>0</v>
      </c>
      <c r="CJ153" s="150">
        <f>IF(Tabel2[[#This Row],[LPR 7]]&gt;0,1,0)</f>
        <v>0</v>
      </c>
      <c r="CK153" s="150">
        <f>IF(Tabel2[[#This Row],[LPR 8]]&gt;0,1,0)</f>
        <v>0</v>
      </c>
      <c r="CL153" s="150">
        <f>IF(Tabel2[[#This Row],[LPR 9]]&gt;0,1,0)</f>
        <v>0</v>
      </c>
      <c r="CM153" s="150">
        <f>IF(Tabel2[[#This Row],[LPR 10]]&gt;0,1,0)</f>
        <v>0</v>
      </c>
      <c r="CN153" s="150">
        <f>SUM(Tabel7[[#This Row],[sep]:[jun]])</f>
        <v>0</v>
      </c>
      <c r="CO153" s="22" t="str">
        <f t="shared" si="17"/>
        <v/>
      </c>
      <c r="CP153" s="22" t="str">
        <f t="shared" si="18"/>
        <v/>
      </c>
      <c r="CQ153" s="22" t="str">
        <f t="shared" si="19"/>
        <v/>
      </c>
      <c r="CR153" s="22" t="str">
        <f t="shared" si="20"/>
        <v/>
      </c>
      <c r="CS153" s="22" t="str">
        <f t="shared" si="21"/>
        <v/>
      </c>
    </row>
    <row r="154" spans="1:97" x14ac:dyDescent="0.3">
      <c r="A154" s="22" t="s">
        <v>156</v>
      </c>
      <c r="B154" s="22" t="s">
        <v>149</v>
      </c>
      <c r="D154" s="22" t="s">
        <v>160</v>
      </c>
      <c r="E154" t="s">
        <v>337</v>
      </c>
      <c r="F154" s="22">
        <v>121109</v>
      </c>
      <c r="G154" s="25" t="s">
        <v>171</v>
      </c>
      <c r="H154" s="142">
        <f>Tabel2[[#This Row],[pnt t/m 2021/22]]+Tabel2[[#This Row],[pnt 2022/2023]]</f>
        <v>6.6666666666666661</v>
      </c>
      <c r="I154">
        <v>2010</v>
      </c>
      <c r="J154">
        <v>2023</v>
      </c>
      <c r="K154" s="24">
        <f>Tabel2[[#This Row],[ijkdatum]]-Tabel2[[#This Row],[Geboren]]</f>
        <v>13</v>
      </c>
      <c r="L154" s="26">
        <f>Tabel2[[#This Row],[TTL 1]]+Tabel2[[#This Row],[TTL 2]]+Tabel2[[#This Row],[TTL 3]]+Tabel2[[#This Row],[TTL 4]]+Tabel2[[#This Row],[TTL 5]]+Tabel2[[#This Row],[TTL 6]]+Tabel2[[#This Row],[TTL 7]]+Tabel2[[#This Row],[TTL 8]]+Tabel2[[#This Row],[TTL 9]]+Tabel2[[#This Row],[TTL 10]]</f>
        <v>6.6666666666666661</v>
      </c>
      <c r="M154" s="151"/>
      <c r="O154">
        <v>1</v>
      </c>
      <c r="S154" s="23">
        <f>SUM(Tabel2[[#This Row],[V 1]]*10+Tabel2[[#This Row],[GT 1]])/Tabel2[[#This Row],[AW 1]]*10+Tabel2[[#This Row],[BONUS 1]]</f>
        <v>0</v>
      </c>
      <c r="U154">
        <v>1</v>
      </c>
      <c r="Y154" s="23">
        <f>SUM(Tabel2[[#This Row],[V 2]]*10+Tabel2[[#This Row],[GT 2]])/Tabel2[[#This Row],[AW 2]]*10+Tabel2[[#This Row],[BONUS 2]]</f>
        <v>0</v>
      </c>
      <c r="Z154">
        <v>6</v>
      </c>
      <c r="AA154">
        <v>6</v>
      </c>
      <c r="AB154">
        <v>0</v>
      </c>
      <c r="AC154">
        <v>4</v>
      </c>
      <c r="AE154" s="23">
        <f>SUM(Tabel2[[#This Row],[V 3]]*10+Tabel2[[#This Row],[GT 3]])/Tabel2[[#This Row],[AW 3]]*10+Tabel2[[#This Row],[BONUS 3]]</f>
        <v>6.6666666666666661</v>
      </c>
      <c r="AG154">
        <v>1</v>
      </c>
      <c r="AK154" s="23">
        <f>SUM(Tabel2[[#This Row],[V 4]]*10+Tabel2[[#This Row],[GT 4]])/Tabel2[[#This Row],[AW 4]]*10+Tabel2[[#This Row],[BONUS 4]]</f>
        <v>0</v>
      </c>
      <c r="AM154">
        <v>1</v>
      </c>
      <c r="AQ154" s="23">
        <f>SUM(Tabel2[[#This Row],[V 5]]*10+Tabel2[[#This Row],[GT 5]])/Tabel2[[#This Row],[AW 5]]*10+Tabel2[[#This Row],[BONUS 5]]</f>
        <v>0</v>
      </c>
      <c r="AS154">
        <v>1</v>
      </c>
      <c r="AW154" s="23">
        <f>SUM(Tabel2[[#This Row],[V 6]]*10+Tabel2[[#This Row],[GT 6]])/Tabel2[[#This Row],[AW 6]]*10+Tabel2[[#This Row],[BONUS 6]]</f>
        <v>0</v>
      </c>
      <c r="AY154">
        <v>1</v>
      </c>
      <c r="BC154" s="23">
        <f>SUM(Tabel2[[#This Row],[V 7]]*10+Tabel2[[#This Row],[GT 7]])/Tabel2[[#This Row],[AW 7]]*10+Tabel2[[#This Row],[BONUS 7]]</f>
        <v>0</v>
      </c>
      <c r="BE154">
        <v>1</v>
      </c>
      <c r="BI154" s="23">
        <f>SUM(Tabel2[[#This Row],[V 8]]*10+Tabel2[[#This Row],[GT 8]])/Tabel2[[#This Row],[AW 8]]*10+Tabel2[[#This Row],[BONUS 8]]</f>
        <v>0</v>
      </c>
      <c r="BK154">
        <v>1</v>
      </c>
      <c r="BO154" s="23">
        <f>SUM(Tabel2[[#This Row],[V 9]]*10+Tabel2[[#This Row],[GT 9]])/Tabel2[[#This Row],[AW 9]]*10+Tabel2[[#This Row],[BONUS 9]]</f>
        <v>0</v>
      </c>
      <c r="BQ154">
        <v>1</v>
      </c>
      <c r="BU154" s="23">
        <f>SUM(Tabel2[[#This Row],[V 10]]*10+Tabel2[[#This Row],[GT 10]])/Tabel2[[#This Row],[AW 10]]*10+Tabel2[[#This Row],[BONUS 10]]</f>
        <v>0</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4" s="22">
        <v>0</v>
      </c>
      <c r="BX154" s="30">
        <f>Tabel2[[#This Row],[Diploma]]-Tabel2[[#This Row],[Uitgeschreven]]</f>
        <v>0</v>
      </c>
      <c r="BY154" s="2" t="str">
        <f t="shared" si="16"/>
        <v>geen actie</v>
      </c>
      <c r="CA154" s="150">
        <f>Tabel2[[#This Row],[pnt t/m 2021/22]]</f>
        <v>0</v>
      </c>
      <c r="CB154" s="150">
        <f>Tabel2[[#This Row],[pnt 2022/2023]]</f>
        <v>6.6666666666666661</v>
      </c>
      <c r="CC154" s="150">
        <f t="shared" si="22"/>
        <v>6.6666666666666661</v>
      </c>
      <c r="CD154" s="150">
        <f>IF(Tabel2[[#This Row],[LPR 1]]&gt;0,1,0)</f>
        <v>0</v>
      </c>
      <c r="CE154" s="150">
        <f>IF(Tabel2[[#This Row],[LPR 2]]&gt;0,1,0)</f>
        <v>0</v>
      </c>
      <c r="CF154" s="150">
        <f>IF(Tabel2[[#This Row],[LPR 3]]&gt;0,1,0)</f>
        <v>1</v>
      </c>
      <c r="CG154" s="150">
        <f>IF(Tabel2[[#This Row],[LPR 4]]&gt;0,1,0)</f>
        <v>0</v>
      </c>
      <c r="CH154" s="150">
        <f>IF(Tabel2[[#This Row],[LPR 5]]&gt;0,1,0)</f>
        <v>0</v>
      </c>
      <c r="CI154" s="150">
        <f>IF(Tabel2[[#This Row],[LPR 6]]&gt;0,1,0)</f>
        <v>0</v>
      </c>
      <c r="CJ154" s="150">
        <f>IF(Tabel2[[#This Row],[LPR 7]]&gt;0,1,0)</f>
        <v>0</v>
      </c>
      <c r="CK154" s="150">
        <f>IF(Tabel2[[#This Row],[LPR 8]]&gt;0,1,0)</f>
        <v>0</v>
      </c>
      <c r="CL154" s="150">
        <f>IF(Tabel2[[#This Row],[LPR 9]]&gt;0,1,0)</f>
        <v>0</v>
      </c>
      <c r="CM154" s="150">
        <f>IF(Tabel2[[#This Row],[LPR 10]]&gt;0,1,0)</f>
        <v>0</v>
      </c>
      <c r="CN154" s="150">
        <f>SUM(Tabel7[[#This Row],[sep]:[jun]])</f>
        <v>1</v>
      </c>
      <c r="CO154" s="22" t="str">
        <f t="shared" si="17"/>
        <v/>
      </c>
      <c r="CP154" s="22" t="str">
        <f t="shared" si="18"/>
        <v/>
      </c>
      <c r="CQ154" s="22" t="str">
        <f t="shared" si="19"/>
        <v/>
      </c>
      <c r="CR154" s="22" t="str">
        <f t="shared" si="20"/>
        <v/>
      </c>
      <c r="CS154" s="22" t="str">
        <f t="shared" si="21"/>
        <v/>
      </c>
    </row>
    <row r="155" spans="1:97" x14ac:dyDescent="0.3">
      <c r="A155" s="22" t="s">
        <v>190</v>
      </c>
      <c r="B155" s="22" t="s">
        <v>149</v>
      </c>
      <c r="D155" s="22" t="s">
        <v>163</v>
      </c>
      <c r="E155" t="s">
        <v>338</v>
      </c>
      <c r="F155" s="22">
        <v>119719</v>
      </c>
      <c r="G155" s="25" t="s">
        <v>206</v>
      </c>
      <c r="H155" s="142">
        <f>Tabel2[[#This Row],[pnt t/m 2021/22]]+Tabel2[[#This Row],[pnt 2022/2023]]</f>
        <v>396.89102564102564</v>
      </c>
      <c r="I155">
        <v>2014</v>
      </c>
      <c r="J155">
        <v>2023</v>
      </c>
      <c r="K155" s="24">
        <f>Tabel2[[#This Row],[ijkdatum]]-Tabel2[[#This Row],[Geboren]]</f>
        <v>9</v>
      </c>
      <c r="L155" s="26">
        <f>Tabel2[[#This Row],[TTL 1]]+Tabel2[[#This Row],[TTL 2]]+Tabel2[[#This Row],[TTL 3]]+Tabel2[[#This Row],[TTL 4]]+Tabel2[[#This Row],[TTL 5]]+Tabel2[[#This Row],[TTL 6]]+Tabel2[[#This Row],[TTL 7]]+Tabel2[[#This Row],[TTL 8]]+Tabel2[[#This Row],[TTL 9]]+Tabel2[[#This Row],[TTL 10]]</f>
        <v>0</v>
      </c>
      <c r="M155" s="151">
        <v>396.89102564102564</v>
      </c>
      <c r="O155">
        <v>1</v>
      </c>
      <c r="S155" s="23">
        <f>SUM(Tabel2[[#This Row],[V 1]]*10+Tabel2[[#This Row],[GT 1]])/Tabel2[[#This Row],[AW 1]]*10+Tabel2[[#This Row],[BONUS 1]]</f>
        <v>0</v>
      </c>
      <c r="U155">
        <v>1</v>
      </c>
      <c r="Y155" s="153">
        <f>SUM(Tabel2[[#This Row],[V 2]]*10+Tabel2[[#This Row],[GT 2]])/Tabel2[[#This Row],[AW 2]]*10+Tabel2[[#This Row],[BONUS 2]]</f>
        <v>0</v>
      </c>
      <c r="AA155">
        <v>1</v>
      </c>
      <c r="AE155" s="23">
        <f>SUM(Tabel2[[#This Row],[V 3]]*10+Tabel2[[#This Row],[GT 3]])/Tabel2[[#This Row],[AW 3]]*10+Tabel2[[#This Row],[BONUS 3]]</f>
        <v>0</v>
      </c>
      <c r="AG155">
        <v>1</v>
      </c>
      <c r="AK155" s="23">
        <f>SUM(Tabel2[[#This Row],[V 4]]*10+Tabel2[[#This Row],[GT 4]])/Tabel2[[#This Row],[AW 4]]*10+Tabel2[[#This Row],[BONUS 4]]</f>
        <v>0</v>
      </c>
      <c r="AM155">
        <v>1</v>
      </c>
      <c r="AQ155" s="23">
        <f>SUM(Tabel2[[#This Row],[V 5]]*10+Tabel2[[#This Row],[GT 5]])/Tabel2[[#This Row],[AW 5]]*10+Tabel2[[#This Row],[BONUS 5]]</f>
        <v>0</v>
      </c>
      <c r="AS155">
        <v>1</v>
      </c>
      <c r="AW155" s="23">
        <f>SUM(Tabel2[[#This Row],[V 6]]*10+Tabel2[[#This Row],[GT 6]])/Tabel2[[#This Row],[AW 6]]*10+Tabel2[[#This Row],[BONUS 6]]</f>
        <v>0</v>
      </c>
      <c r="AY155">
        <v>1</v>
      </c>
      <c r="BC155" s="23">
        <f>SUM(Tabel2[[#This Row],[V 7]]*10+Tabel2[[#This Row],[GT 7]])/Tabel2[[#This Row],[AW 7]]*10+Tabel2[[#This Row],[BONUS 7]]</f>
        <v>0</v>
      </c>
      <c r="BE155">
        <v>1</v>
      </c>
      <c r="BI155" s="23">
        <f>SUM(Tabel2[[#This Row],[V 8]]*10+Tabel2[[#This Row],[GT 8]])/Tabel2[[#This Row],[AW 8]]*10+Tabel2[[#This Row],[BONUS 8]]</f>
        <v>0</v>
      </c>
      <c r="BK155">
        <v>1</v>
      </c>
      <c r="BO155" s="23">
        <f>SUM(Tabel2[[#This Row],[V 9]]*10+Tabel2[[#This Row],[GT 9]])/Tabel2[[#This Row],[AW 9]]*10+Tabel2[[#This Row],[BONUS 9]]</f>
        <v>0</v>
      </c>
      <c r="BQ155">
        <v>1</v>
      </c>
      <c r="BU155" s="23">
        <f>SUM(Tabel2[[#This Row],[V 10]]*10+(Tabel2[[#This Row],[GT 10]])/2)/Tabel2[[#This Row],[AW 10]]*10+Tabel2[[#This Row],[BONUS 10]]</f>
        <v>0</v>
      </c>
      <c r="BV1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5" s="22">
        <v>250</v>
      </c>
      <c r="BX155" s="30">
        <f>Tabel2[[#This Row],[Diploma]]-Tabel2[[#This Row],[Uitgeschreven]]</f>
        <v>0</v>
      </c>
      <c r="BY155" s="2" t="str">
        <f t="shared" si="16"/>
        <v>geen actie</v>
      </c>
      <c r="CA155" s="150">
        <f>Tabel2[[#This Row],[pnt t/m 2021/22]]</f>
        <v>396.89102564102564</v>
      </c>
      <c r="CB155" s="150">
        <f>Tabel2[[#This Row],[pnt 2022/2023]]</f>
        <v>0</v>
      </c>
      <c r="CC155" s="150">
        <f t="shared" si="22"/>
        <v>396.89102564102564</v>
      </c>
      <c r="CD155" s="150">
        <f>IF(Tabel2[[#This Row],[LPR 1]]&gt;0,1,0)</f>
        <v>0</v>
      </c>
      <c r="CE155" s="150">
        <f>IF(Tabel2[[#This Row],[LPR 2]]&gt;0,1,0)</f>
        <v>0</v>
      </c>
      <c r="CF155" s="150">
        <f>IF(Tabel2[[#This Row],[LPR 3]]&gt;0,1,0)</f>
        <v>0</v>
      </c>
      <c r="CG155" s="150">
        <f>IF(Tabel2[[#This Row],[LPR 4]]&gt;0,1,0)</f>
        <v>0</v>
      </c>
      <c r="CH155" s="150">
        <f>IF(Tabel2[[#This Row],[LPR 5]]&gt;0,1,0)</f>
        <v>0</v>
      </c>
      <c r="CI155" s="150">
        <f>IF(Tabel2[[#This Row],[LPR 6]]&gt;0,1,0)</f>
        <v>0</v>
      </c>
      <c r="CJ155" s="150">
        <f>IF(Tabel2[[#This Row],[LPR 7]]&gt;0,1,0)</f>
        <v>0</v>
      </c>
      <c r="CK155" s="150">
        <f>IF(Tabel2[[#This Row],[LPR 8]]&gt;0,1,0)</f>
        <v>0</v>
      </c>
      <c r="CL155" s="150">
        <f>IF(Tabel2[[#This Row],[LPR 9]]&gt;0,1,0)</f>
        <v>0</v>
      </c>
      <c r="CM155" s="150">
        <f>IF(Tabel2[[#This Row],[LPR 10]]&gt;0,1,0)</f>
        <v>0</v>
      </c>
      <c r="CN155" s="150">
        <f>SUM(Tabel7[[#This Row],[sep]:[jun]])</f>
        <v>0</v>
      </c>
      <c r="CO155" s="22" t="str">
        <f t="shared" si="17"/>
        <v/>
      </c>
      <c r="CP155" s="22" t="str">
        <f t="shared" si="18"/>
        <v/>
      </c>
      <c r="CQ155" s="22" t="str">
        <f t="shared" si="19"/>
        <v/>
      </c>
      <c r="CR155" s="22" t="str">
        <f t="shared" si="20"/>
        <v/>
      </c>
      <c r="CS155" s="22" t="str">
        <f t="shared" si="21"/>
        <v/>
      </c>
    </row>
    <row r="156" spans="1:97" x14ac:dyDescent="0.3">
      <c r="A156" s="22" t="s">
        <v>159</v>
      </c>
      <c r="B156" s="22" t="s">
        <v>149</v>
      </c>
      <c r="D156" s="22" t="s">
        <v>163</v>
      </c>
      <c r="E156" t="s">
        <v>339</v>
      </c>
      <c r="F156" s="22">
        <v>117466</v>
      </c>
      <c r="G156" s="25" t="s">
        <v>162</v>
      </c>
      <c r="H156" s="142">
        <f>Tabel2[[#This Row],[pnt t/m 2021/22]]+Tabel2[[#This Row],[pnt 2022/2023]]</f>
        <v>565.875</v>
      </c>
      <c r="I156">
        <v>2006</v>
      </c>
      <c r="J156">
        <v>2023</v>
      </c>
      <c r="K156" s="24">
        <f>Tabel2[[#This Row],[ijkdatum]]-Tabel2[[#This Row],[Geboren]]</f>
        <v>17</v>
      </c>
      <c r="L156" s="26">
        <f>Tabel2[[#This Row],[TTL 1]]+Tabel2[[#This Row],[TTL 2]]+Tabel2[[#This Row],[TTL 3]]+Tabel2[[#This Row],[TTL 4]]+Tabel2[[#This Row],[TTL 5]]+Tabel2[[#This Row],[TTL 6]]+Tabel2[[#This Row],[TTL 7]]+Tabel2[[#This Row],[TTL 8]]+Tabel2[[#This Row],[TTL 9]]+Tabel2[[#This Row],[TTL 10]]</f>
        <v>0</v>
      </c>
      <c r="M156" s="141">
        <v>565.875</v>
      </c>
      <c r="O156">
        <v>1</v>
      </c>
      <c r="S156" s="23">
        <f>SUM(Tabel2[[#This Row],[V 1]]*10+Tabel2[[#This Row],[GT 1]])/Tabel2[[#This Row],[AW 1]]*10+Tabel2[[#This Row],[BONUS 1]]</f>
        <v>0</v>
      </c>
      <c r="U156">
        <v>1</v>
      </c>
      <c r="Y156" s="23">
        <f>SUM(Tabel2[[#This Row],[V 2]]*10+Tabel2[[#This Row],[GT 2]])/Tabel2[[#This Row],[AW 2]]*10+Tabel2[[#This Row],[BONUS 2]]</f>
        <v>0</v>
      </c>
      <c r="AA156">
        <v>1</v>
      </c>
      <c r="AE156" s="23">
        <f>SUM(Tabel2[[#This Row],[V 3]]*10+Tabel2[[#This Row],[GT 3]])/Tabel2[[#This Row],[AW 3]]*10+Tabel2[[#This Row],[BONUS 3]]</f>
        <v>0</v>
      </c>
      <c r="AG156">
        <v>1</v>
      </c>
      <c r="AK156" s="23">
        <f>SUM(Tabel2[[#This Row],[V 4]]*10+Tabel2[[#This Row],[GT 4]])/Tabel2[[#This Row],[AW 4]]*10+Tabel2[[#This Row],[BONUS 4]]</f>
        <v>0</v>
      </c>
      <c r="AM156">
        <v>1</v>
      </c>
      <c r="AQ156" s="23">
        <f>SUM(Tabel2[[#This Row],[V 5]]*10+Tabel2[[#This Row],[GT 5]])/Tabel2[[#This Row],[AW 5]]*10+Tabel2[[#This Row],[BONUS 5]]</f>
        <v>0</v>
      </c>
      <c r="AS156">
        <v>1</v>
      </c>
      <c r="AW156" s="23">
        <f>SUM(Tabel2[[#This Row],[V 6]]*10+Tabel2[[#This Row],[GT 6]])/Tabel2[[#This Row],[AW 6]]*10+Tabel2[[#This Row],[BONUS 6]]</f>
        <v>0</v>
      </c>
      <c r="AY156">
        <v>1</v>
      </c>
      <c r="BC156" s="23">
        <f>SUM(Tabel2[[#This Row],[V 7]]*10+Tabel2[[#This Row],[GT 7]])/Tabel2[[#This Row],[AW 7]]*10+Tabel2[[#This Row],[BONUS 7]]</f>
        <v>0</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6" s="22">
        <v>500</v>
      </c>
      <c r="BX156" s="30">
        <f>Tabel2[[#This Row],[Diploma]]-Tabel2[[#This Row],[Uitgeschreven]]</f>
        <v>0</v>
      </c>
      <c r="BY156" s="2" t="str">
        <f t="shared" si="16"/>
        <v>geen actie</v>
      </c>
      <c r="CA156" s="150">
        <f>Tabel2[[#This Row],[pnt t/m 2021/22]]</f>
        <v>565.875</v>
      </c>
      <c r="CB156" s="150">
        <f>Tabel2[[#This Row],[pnt 2022/2023]]</f>
        <v>0</v>
      </c>
      <c r="CC156" s="150">
        <f t="shared" si="22"/>
        <v>565.875</v>
      </c>
      <c r="CD156" s="150">
        <f>IF(Tabel2[[#This Row],[LPR 1]]&gt;0,1,0)</f>
        <v>0</v>
      </c>
      <c r="CE156" s="150">
        <f>IF(Tabel2[[#This Row],[LPR 2]]&gt;0,1,0)</f>
        <v>0</v>
      </c>
      <c r="CF156" s="150">
        <f>IF(Tabel2[[#This Row],[LPR 3]]&gt;0,1,0)</f>
        <v>0</v>
      </c>
      <c r="CG156" s="150">
        <f>IF(Tabel2[[#This Row],[LPR 4]]&gt;0,1,0)</f>
        <v>0</v>
      </c>
      <c r="CH156" s="150">
        <f>IF(Tabel2[[#This Row],[LPR 5]]&gt;0,1,0)</f>
        <v>0</v>
      </c>
      <c r="CI156" s="150">
        <f>IF(Tabel2[[#This Row],[LPR 6]]&gt;0,1,0)</f>
        <v>0</v>
      </c>
      <c r="CJ156" s="150">
        <f>IF(Tabel2[[#This Row],[LPR 7]]&gt;0,1,0)</f>
        <v>0</v>
      </c>
      <c r="CK156" s="150">
        <f>IF(Tabel2[[#This Row],[LPR 8]]&gt;0,1,0)</f>
        <v>0</v>
      </c>
      <c r="CL156" s="150">
        <f>IF(Tabel2[[#This Row],[LPR 9]]&gt;0,1,0)</f>
        <v>0</v>
      </c>
      <c r="CM156" s="150">
        <f>IF(Tabel2[[#This Row],[LPR 10]]&gt;0,1,0)</f>
        <v>0</v>
      </c>
      <c r="CN156" s="150">
        <f>SUM(Tabel7[[#This Row],[sep]:[jun]])</f>
        <v>0</v>
      </c>
      <c r="CO156" s="22" t="str">
        <f t="shared" si="17"/>
        <v/>
      </c>
      <c r="CP156" s="22" t="str">
        <f t="shared" si="18"/>
        <v/>
      </c>
      <c r="CQ156" s="22" t="str">
        <f t="shared" si="19"/>
        <v/>
      </c>
      <c r="CR156" s="22" t="str">
        <f t="shared" si="20"/>
        <v/>
      </c>
      <c r="CS156" s="22" t="str">
        <f t="shared" si="21"/>
        <v/>
      </c>
    </row>
    <row r="157" spans="1:97" x14ac:dyDescent="0.3">
      <c r="A157" s="22" t="s">
        <v>156</v>
      </c>
      <c r="B157" s="22" t="s">
        <v>149</v>
      </c>
      <c r="D157" s="22" t="s">
        <v>150</v>
      </c>
      <c r="E157" t="s">
        <v>340</v>
      </c>
      <c r="F157" s="22">
        <v>119708</v>
      </c>
      <c r="G157" s="25" t="s">
        <v>171</v>
      </c>
      <c r="H157" s="142">
        <f>Tabel2[[#This Row],[pnt t/m 2021/22]]+Tabel2[[#This Row],[pnt 2022/2023]]</f>
        <v>726.00613275613273</v>
      </c>
      <c r="I157">
        <v>2010</v>
      </c>
      <c r="J157">
        <v>2023</v>
      </c>
      <c r="K157" s="24">
        <f>Tabel2[[#This Row],[ijkdatum]]-Tabel2[[#This Row],[Geboren]]</f>
        <v>13</v>
      </c>
      <c r="L157" s="26">
        <f>Tabel2[[#This Row],[TTL 1]]+Tabel2[[#This Row],[TTL 2]]+Tabel2[[#This Row],[TTL 3]]+Tabel2[[#This Row],[TTL 4]]+Tabel2[[#This Row],[TTL 5]]+Tabel2[[#This Row],[TTL 6]]+Tabel2[[#This Row],[TTL 7]]+Tabel2[[#This Row],[TTL 8]]+Tabel2[[#This Row],[TTL 9]]+Tabel2[[#This Row],[TTL 10]]</f>
        <v>204.16666666666666</v>
      </c>
      <c r="M157" s="141">
        <v>521.8394660894661</v>
      </c>
      <c r="O157">
        <v>1</v>
      </c>
      <c r="S157" s="23">
        <f>SUM(Tabel2[[#This Row],[V 1]]*10+Tabel2[[#This Row],[GT 1]])/Tabel2[[#This Row],[AW 1]]*10+Tabel2[[#This Row],[BONUS 1]]</f>
        <v>0</v>
      </c>
      <c r="T157">
        <v>5</v>
      </c>
      <c r="U157">
        <v>8</v>
      </c>
      <c r="V157">
        <v>5</v>
      </c>
      <c r="W157">
        <v>28</v>
      </c>
      <c r="Y157" s="23">
        <f>SUM(Tabel2[[#This Row],[V 2]]*10+Tabel2[[#This Row],[GT 2]])/Tabel2[[#This Row],[AW 2]]*10+Tabel2[[#This Row],[BONUS 2]]</f>
        <v>97.5</v>
      </c>
      <c r="Z157">
        <v>6</v>
      </c>
      <c r="AA157">
        <v>6</v>
      </c>
      <c r="AB157">
        <v>4</v>
      </c>
      <c r="AC157">
        <v>24</v>
      </c>
      <c r="AE157" s="23">
        <f>SUM(Tabel2[[#This Row],[V 3]]*10+Tabel2[[#This Row],[GT 3]])/Tabel2[[#This Row],[AW 3]]*10+Tabel2[[#This Row],[BONUS 3]]</f>
        <v>106.66666666666666</v>
      </c>
      <c r="AG157">
        <v>1</v>
      </c>
      <c r="AK157" s="23">
        <f>SUM(Tabel2[[#This Row],[V 4]]*10+Tabel2[[#This Row],[GT 4]])/Tabel2[[#This Row],[AW 4]]*10+Tabel2[[#This Row],[BONUS 4]]</f>
        <v>0</v>
      </c>
      <c r="AM157">
        <v>1</v>
      </c>
      <c r="AQ157" s="23">
        <f>SUM(Tabel2[[#This Row],[V 5]]*10+Tabel2[[#This Row],[GT 5]])/Tabel2[[#This Row],[AW 5]]*10+Tabel2[[#This Row],[BONUS 5]]</f>
        <v>0</v>
      </c>
      <c r="AS157">
        <v>1</v>
      </c>
      <c r="AW157" s="23">
        <f>SUM(Tabel2[[#This Row],[V 6]]*10+Tabel2[[#This Row],[GT 6]])/Tabel2[[#This Row],[AW 6]]*10+Tabel2[[#This Row],[BONUS 6]]</f>
        <v>0</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7" s="22">
        <v>500</v>
      </c>
      <c r="BX157" s="30">
        <f>Tabel2[[#This Row],[Diploma]]-Tabel2[[#This Row],[Uitgeschreven]]</f>
        <v>0</v>
      </c>
      <c r="BY157" s="2" t="str">
        <f t="shared" si="16"/>
        <v>geen actie</v>
      </c>
      <c r="CA157" s="150">
        <f>Tabel2[[#This Row],[pnt t/m 2021/22]]</f>
        <v>521.8394660894661</v>
      </c>
      <c r="CB157" s="150">
        <f>Tabel2[[#This Row],[pnt 2022/2023]]</f>
        <v>204.16666666666666</v>
      </c>
      <c r="CC157" s="150">
        <f t="shared" si="22"/>
        <v>726.00613275613273</v>
      </c>
      <c r="CD157" s="150">
        <f>IF(Tabel2[[#This Row],[LPR 1]]&gt;0,1,0)</f>
        <v>0</v>
      </c>
      <c r="CE157" s="150">
        <f>IF(Tabel2[[#This Row],[LPR 2]]&gt;0,1,0)</f>
        <v>1</v>
      </c>
      <c r="CF157" s="150">
        <f>IF(Tabel2[[#This Row],[LPR 3]]&gt;0,1,0)</f>
        <v>1</v>
      </c>
      <c r="CG157" s="150">
        <f>IF(Tabel2[[#This Row],[LPR 4]]&gt;0,1,0)</f>
        <v>0</v>
      </c>
      <c r="CH157" s="150">
        <f>IF(Tabel2[[#This Row],[LPR 5]]&gt;0,1,0)</f>
        <v>0</v>
      </c>
      <c r="CI157" s="150">
        <f>IF(Tabel2[[#This Row],[LPR 6]]&gt;0,1,0)</f>
        <v>0</v>
      </c>
      <c r="CJ157" s="150">
        <f>IF(Tabel2[[#This Row],[LPR 7]]&gt;0,1,0)</f>
        <v>0</v>
      </c>
      <c r="CK157" s="150">
        <f>IF(Tabel2[[#This Row],[LPR 8]]&gt;0,1,0)</f>
        <v>0</v>
      </c>
      <c r="CL157" s="150">
        <f>IF(Tabel2[[#This Row],[LPR 9]]&gt;0,1,0)</f>
        <v>0</v>
      </c>
      <c r="CM157" s="150">
        <f>IF(Tabel2[[#This Row],[LPR 10]]&gt;0,1,0)</f>
        <v>0</v>
      </c>
      <c r="CN157" s="150">
        <f>SUM(Tabel7[[#This Row],[sep]:[jun]])</f>
        <v>2</v>
      </c>
      <c r="CO157" s="22" t="str">
        <f t="shared" si="17"/>
        <v/>
      </c>
      <c r="CP157" s="22" t="str">
        <f t="shared" si="18"/>
        <v/>
      </c>
      <c r="CQ157" s="22" t="str">
        <f t="shared" si="19"/>
        <v/>
      </c>
      <c r="CR157" s="22" t="str">
        <f t="shared" si="20"/>
        <v/>
      </c>
      <c r="CS157" s="22" t="str">
        <f t="shared" si="21"/>
        <v/>
      </c>
    </row>
    <row r="158" spans="1:97" x14ac:dyDescent="0.3">
      <c r="A158" s="22" t="s">
        <v>148</v>
      </c>
      <c r="B158" s="22" t="s">
        <v>149</v>
      </c>
      <c r="D158" s="22" t="s">
        <v>160</v>
      </c>
      <c r="E158" t="s">
        <v>341</v>
      </c>
      <c r="F158" s="22">
        <v>119993</v>
      </c>
      <c r="G158" s="25" t="s">
        <v>198</v>
      </c>
      <c r="H158" s="23">
        <f>Tabel2[[#This Row],[pnt t/m 2021/22]]+Tabel2[[#This Row],[pnt 2022/2023]]</f>
        <v>424.65079365079362</v>
      </c>
      <c r="I158">
        <v>2009</v>
      </c>
      <c r="J158">
        <v>2023</v>
      </c>
      <c r="K158" s="24">
        <f>Tabel2[[#This Row],[ijkdatum]]-Tabel2[[#This Row],[Geboren]]</f>
        <v>14</v>
      </c>
      <c r="L158" s="26">
        <f>Tabel2[[#This Row],[TTL 1]]+Tabel2[[#This Row],[TTL 2]]+Tabel2[[#This Row],[TTL 3]]+Tabel2[[#This Row],[TTL 4]]+Tabel2[[#This Row],[TTL 5]]+Tabel2[[#This Row],[TTL 6]]+Tabel2[[#This Row],[TTL 7]]+Tabel2[[#This Row],[TTL 8]]+Tabel2[[#This Row],[TTL 9]]+Tabel2[[#This Row],[TTL 10]]</f>
        <v>78.888888888888886</v>
      </c>
      <c r="M158" s="157">
        <v>345.7619047619047</v>
      </c>
      <c r="O158">
        <v>1</v>
      </c>
      <c r="S158" s="153">
        <f>SUM(Tabel2[[#This Row],[V 1]]*10+Tabel2[[#This Row],[GT 1]])/Tabel2[[#This Row],[AW 1]]*10+Tabel2[[#This Row],[BONUS 1]]</f>
        <v>0</v>
      </c>
      <c r="U158">
        <v>1</v>
      </c>
      <c r="Y158" s="23">
        <f>SUM(Tabel2[[#This Row],[V 2]]*10+Tabel2[[#This Row],[GT 2]])/Tabel2[[#This Row],[AW 2]]*10+Tabel2[[#This Row],[BONUS 2]]</f>
        <v>0</v>
      </c>
      <c r="Z158">
        <v>1</v>
      </c>
      <c r="AA158">
        <v>9</v>
      </c>
      <c r="AB158">
        <v>4</v>
      </c>
      <c r="AC158">
        <v>31</v>
      </c>
      <c r="AE158" s="23">
        <f>SUM(Tabel2[[#This Row],[V 3]]*10+Tabel2[[#This Row],[GT 3]])/Tabel2[[#This Row],[AW 3]]*10+Tabel2[[#This Row],[BONUS 3]]</f>
        <v>78.888888888888886</v>
      </c>
      <c r="AG158">
        <v>1</v>
      </c>
      <c r="AK158" s="23">
        <f>SUM(Tabel2[[#This Row],[V 4]]*10+Tabel2[[#This Row],[GT 4]])/Tabel2[[#This Row],[AW 4]]*10+Tabel2[[#This Row],[BONUS 4]]</f>
        <v>0</v>
      </c>
      <c r="AM158">
        <v>1</v>
      </c>
      <c r="AQ158" s="23">
        <f>SUM(Tabel2[[#This Row],[V 5]]*10+Tabel2[[#This Row],[GT 5]])/Tabel2[[#This Row],[AW 5]]*10+Tabel2[[#This Row],[BONUS 5]]</f>
        <v>0</v>
      </c>
      <c r="AS158">
        <v>1</v>
      </c>
      <c r="AW158" s="23">
        <f>SUM(Tabel2[[#This Row],[V 6]]*10+Tabel2[[#This Row],[GT 6]])/Tabel2[[#This Row],[AW 6]]*10+Tabel2[[#This Row],[BONUS 6]]</f>
        <v>0</v>
      </c>
      <c r="AY158">
        <v>1</v>
      </c>
      <c r="BC158" s="23">
        <f>SUM(Tabel2[[#This Row],[V 7]]*10+Tabel2[[#This Row],[GT 7]])/Tabel2[[#This Row],[AW 7]]*10+Tabel2[[#This Row],[BONUS 7]]</f>
        <v>0</v>
      </c>
      <c r="BE158">
        <v>1</v>
      </c>
      <c r="BI158" s="23">
        <f>SUM(Tabel2[[#This Row],[V 8]]*10+Tabel2[[#This Row],[GT 8]])/Tabel2[[#This Row],[AW 8]]*10+Tabel2[[#This Row],[BONUS 8]]</f>
        <v>0</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8" s="22">
        <v>250</v>
      </c>
      <c r="BX158" s="22">
        <f>Tabel2[[#This Row],[Diploma]]-Tabel2[[#This Row],[Uitgeschreven]]</f>
        <v>0</v>
      </c>
      <c r="BY158" s="155" t="str">
        <f t="shared" si="16"/>
        <v>geen actie</v>
      </c>
      <c r="CA158" s="150">
        <f>Tabel2[[#This Row],[pnt t/m 2021/22]]</f>
        <v>345.7619047619047</v>
      </c>
      <c r="CB158" s="150">
        <f>Tabel2[[#This Row],[pnt 2022/2023]]</f>
        <v>78.888888888888886</v>
      </c>
      <c r="CC158" s="150">
        <f t="shared" si="22"/>
        <v>424.65079365079362</v>
      </c>
      <c r="CD158" s="150">
        <f>IF(Tabel2[[#This Row],[LPR 1]]&gt;0,1,0)</f>
        <v>0</v>
      </c>
      <c r="CE158" s="150">
        <f>IF(Tabel2[[#This Row],[LPR 2]]&gt;0,1,0)</f>
        <v>0</v>
      </c>
      <c r="CF158" s="150">
        <f>IF(Tabel2[[#This Row],[LPR 3]]&gt;0,1,0)</f>
        <v>1</v>
      </c>
      <c r="CG158" s="150">
        <f>IF(Tabel2[[#This Row],[LPR 4]]&gt;0,1,0)</f>
        <v>0</v>
      </c>
      <c r="CH158" s="150">
        <f>IF(Tabel2[[#This Row],[LPR 5]]&gt;0,1,0)</f>
        <v>0</v>
      </c>
      <c r="CI158" s="150">
        <f>IF(Tabel2[[#This Row],[LPR 6]]&gt;0,1,0)</f>
        <v>0</v>
      </c>
      <c r="CJ158" s="150">
        <f>IF(Tabel2[[#This Row],[LPR 7]]&gt;0,1,0)</f>
        <v>0</v>
      </c>
      <c r="CK158" s="150">
        <f>IF(Tabel2[[#This Row],[LPR 8]]&gt;0,1,0)</f>
        <v>0</v>
      </c>
      <c r="CL158" s="150">
        <f>IF(Tabel2[[#This Row],[LPR 9]]&gt;0,1,0)</f>
        <v>0</v>
      </c>
      <c r="CM158" s="150">
        <f>IF(Tabel2[[#This Row],[LPR 10]]&gt;0,1,0)</f>
        <v>0</v>
      </c>
      <c r="CN158" s="150">
        <f>SUM(Tabel7[[#This Row],[sep]:[jun]])</f>
        <v>1</v>
      </c>
      <c r="CO158" s="22" t="str">
        <f t="shared" si="17"/>
        <v/>
      </c>
      <c r="CP158" s="22" t="str">
        <f t="shared" si="18"/>
        <v/>
      </c>
      <c r="CQ158" s="22" t="str">
        <f t="shared" si="19"/>
        <v/>
      </c>
      <c r="CR158" s="22" t="str">
        <f t="shared" si="20"/>
        <v/>
      </c>
      <c r="CS158" s="22" t="str">
        <f t="shared" si="21"/>
        <v/>
      </c>
    </row>
    <row r="159" spans="1:97" x14ac:dyDescent="0.3">
      <c r="A159" s="22" t="s">
        <v>190</v>
      </c>
      <c r="B159" s="22" t="s">
        <v>149</v>
      </c>
      <c r="D159" s="22" t="s">
        <v>163</v>
      </c>
      <c r="E159" t="s">
        <v>342</v>
      </c>
      <c r="F159" s="22">
        <v>120186</v>
      </c>
      <c r="G159" s="25" t="s">
        <v>167</v>
      </c>
      <c r="H159" s="23">
        <f>Tabel2[[#This Row],[pnt t/m 2021/22]]+Tabel2[[#This Row],[pnt 2022/2023]]</f>
        <v>328.20512820512823</v>
      </c>
      <c r="I159">
        <v>2013</v>
      </c>
      <c r="J159">
        <v>2023</v>
      </c>
      <c r="K159" s="24">
        <f>Tabel2[[#This Row],[ijkdatum]]-Tabel2[[#This Row],[Geboren]]</f>
        <v>10</v>
      </c>
      <c r="L159" s="26">
        <f>Tabel2[[#This Row],[TTL 1]]+Tabel2[[#This Row],[TTL 2]]+Tabel2[[#This Row],[TTL 3]]+Tabel2[[#This Row],[TTL 4]]+Tabel2[[#This Row],[TTL 5]]+Tabel2[[#This Row],[TTL 6]]+Tabel2[[#This Row],[TTL 7]]+Tabel2[[#This Row],[TTL 8]]+Tabel2[[#This Row],[TTL 9]]+Tabel2[[#This Row],[TTL 10]]</f>
        <v>0</v>
      </c>
      <c r="M159" s="153">
        <v>328.20512820512823</v>
      </c>
      <c r="O159">
        <v>1</v>
      </c>
      <c r="S159" s="153">
        <f>SUM(Tabel2[[#This Row],[V 1]]*10+Tabel2[[#This Row],[GT 1]])/Tabel2[[#This Row],[AW 1]]*10+Tabel2[[#This Row],[BONUS 1]]</f>
        <v>0</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9" s="22">
        <v>250</v>
      </c>
      <c r="BX159" s="22">
        <f>Tabel2[[#This Row],[Diploma]]-Tabel2[[#This Row],[Uitgeschreven]]</f>
        <v>0</v>
      </c>
      <c r="BY159" s="155" t="str">
        <f t="shared" si="16"/>
        <v>geen actie</v>
      </c>
      <c r="CA159" s="150">
        <f>Tabel2[[#This Row],[pnt t/m 2021/22]]</f>
        <v>328.20512820512823</v>
      </c>
      <c r="CB159" s="150">
        <f>Tabel2[[#This Row],[pnt 2022/2023]]</f>
        <v>0</v>
      </c>
      <c r="CC159" s="150">
        <f t="shared" si="22"/>
        <v>328.20512820512823</v>
      </c>
      <c r="CD159" s="150">
        <f>IF(Tabel2[[#This Row],[LPR 1]]&gt;0,1,0)</f>
        <v>0</v>
      </c>
      <c r="CE159" s="150">
        <f>IF(Tabel2[[#This Row],[LPR 2]]&gt;0,1,0)</f>
        <v>0</v>
      </c>
      <c r="CF159" s="150">
        <f>IF(Tabel2[[#This Row],[LPR 3]]&gt;0,1,0)</f>
        <v>0</v>
      </c>
      <c r="CG159" s="150">
        <f>IF(Tabel2[[#This Row],[LPR 4]]&gt;0,1,0)</f>
        <v>0</v>
      </c>
      <c r="CH159" s="150">
        <f>IF(Tabel2[[#This Row],[LPR 5]]&gt;0,1,0)</f>
        <v>0</v>
      </c>
      <c r="CI159" s="150">
        <f>IF(Tabel2[[#This Row],[LPR 6]]&gt;0,1,0)</f>
        <v>0</v>
      </c>
      <c r="CJ159" s="150">
        <f>IF(Tabel2[[#This Row],[LPR 7]]&gt;0,1,0)</f>
        <v>0</v>
      </c>
      <c r="CK159" s="150">
        <f>IF(Tabel2[[#This Row],[LPR 8]]&gt;0,1,0)</f>
        <v>0</v>
      </c>
      <c r="CL159" s="150">
        <f>IF(Tabel2[[#This Row],[LPR 9]]&gt;0,1,0)</f>
        <v>0</v>
      </c>
      <c r="CM159" s="150">
        <f>IF(Tabel2[[#This Row],[LPR 10]]&gt;0,1,0)</f>
        <v>0</v>
      </c>
      <c r="CN159" s="150">
        <f>SUM(Tabel7[[#This Row],[sep]:[jun]])</f>
        <v>0</v>
      </c>
      <c r="CO159" s="22" t="str">
        <f t="shared" si="17"/>
        <v/>
      </c>
      <c r="CP159" s="22" t="str">
        <f t="shared" si="18"/>
        <v/>
      </c>
      <c r="CQ159" s="22" t="str">
        <f t="shared" si="19"/>
        <v/>
      </c>
      <c r="CR159" s="22" t="str">
        <f t="shared" si="20"/>
        <v/>
      </c>
      <c r="CS159" s="22" t="str">
        <f t="shared" si="21"/>
        <v/>
      </c>
    </row>
    <row r="160" spans="1:97" x14ac:dyDescent="0.3">
      <c r="A160" s="22" t="s">
        <v>159</v>
      </c>
      <c r="B160" s="22" t="s">
        <v>149</v>
      </c>
      <c r="D160" s="22" t="s">
        <v>163</v>
      </c>
      <c r="E160" t="s">
        <v>343</v>
      </c>
      <c r="F160" s="204">
        <v>115429</v>
      </c>
      <c r="G160" s="25" t="s">
        <v>344</v>
      </c>
      <c r="H160" s="23">
        <f>Tabel2[[#This Row],[pnt t/m 2021/22]]+Tabel2[[#This Row],[pnt 2022/2023]]</f>
        <v>140</v>
      </c>
      <c r="I160">
        <v>2006</v>
      </c>
      <c r="J160">
        <v>2023</v>
      </c>
      <c r="K160" s="24">
        <f>Tabel2[[#This Row],[ijkdatum]]-Tabel2[[#This Row],[Geboren]]</f>
        <v>17</v>
      </c>
      <c r="L160" s="26">
        <f>Tabel2[[#This Row],[TTL 1]]+Tabel2[[#This Row],[TTL 2]]+Tabel2[[#This Row],[TTL 3]]+Tabel2[[#This Row],[TTL 4]]+Tabel2[[#This Row],[TTL 5]]+Tabel2[[#This Row],[TTL 6]]+Tabel2[[#This Row],[TTL 7]]+Tabel2[[#This Row],[TTL 8]]+Tabel2[[#This Row],[TTL 9]]+Tabel2[[#This Row],[TTL 10]]</f>
        <v>0</v>
      </c>
      <c r="M160" s="153">
        <v>140</v>
      </c>
      <c r="O160">
        <v>1</v>
      </c>
      <c r="S160" s="153">
        <f>SUM(Tabel2[[#This Row],[V 1]]*10+Tabel2[[#This Row],[GT 1]])/Tabel2[[#This Row],[AW 1]]*10+Tabel2[[#This Row],[BONUS 1]]</f>
        <v>0</v>
      </c>
      <c r="U160">
        <v>1</v>
      </c>
      <c r="Y160" s="153">
        <f>SUM(Tabel2[[#This Row],[V 2]]*10+Tabel2[[#This Row],[GT 2]])/Tabel2[[#This Row],[AW 2]]*10+Tabel2[[#This Row],[BONUS 2]]</f>
        <v>0</v>
      </c>
      <c r="AA160">
        <v>1</v>
      </c>
      <c r="AE160" s="153">
        <f>SUM(Tabel2[[#This Row],[V 3]]*10+Tabel2[[#This Row],[GT 3]])/Tabel2[[#This Row],[AW 3]]*10+Tabel2[[#This Row],[BONUS 3]]</f>
        <v>0</v>
      </c>
      <c r="AG160">
        <v>1</v>
      </c>
      <c r="AK160" s="153">
        <f>SUM(Tabel2[[#This Row],[V 4]]*10+Tabel2[[#This Row],[GT 4]])/Tabel2[[#This Row],[AW 4]]*10+Tabel2[[#This Row],[BONUS 4]]</f>
        <v>0</v>
      </c>
      <c r="AM160">
        <v>1</v>
      </c>
      <c r="AQ160" s="153">
        <f>SUM(Tabel2[[#This Row],[V 5]]*10+Tabel2[[#This Row],[GT 5]])/Tabel2[[#This Row],[AW 5]]*10+Tabel2[[#This Row],[BONUS 5]]</f>
        <v>0</v>
      </c>
      <c r="AS160">
        <v>1</v>
      </c>
      <c r="AW160" s="153">
        <f>SUM(Tabel2[[#This Row],[V 6]]*10+Tabel2[[#This Row],[GT 6]])/Tabel2[[#This Row],[AW 6]]*10+Tabel2[[#This Row],[BONUS 6]]</f>
        <v>0</v>
      </c>
      <c r="AY160">
        <v>1</v>
      </c>
      <c r="BC160" s="153">
        <f>SUM(Tabel2[[#This Row],[V 7]]*10+Tabel2[[#This Row],[GT 7]])/Tabel2[[#This Row],[AW 7]]*10+Tabel2[[#This Row],[BONUS 7]]</f>
        <v>0</v>
      </c>
      <c r="BE160">
        <v>1</v>
      </c>
      <c r="BI160" s="153">
        <f>SUM(Tabel2[[#This Row],[V 8]]*10+Tabel2[[#This Row],[GT 8]])/Tabel2[[#This Row],[AW 8]]*10+Tabel2[[#This Row],[BONUS 8]]</f>
        <v>0</v>
      </c>
      <c r="BK160">
        <v>1</v>
      </c>
      <c r="BO160" s="153">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0" s="22">
        <v>0</v>
      </c>
      <c r="BX160" s="22">
        <f>Tabel2[[#This Row],[Diploma]]-Tabel2[[#This Row],[Uitgeschreven]]</f>
        <v>0</v>
      </c>
      <c r="BY160" s="155" t="str">
        <f t="shared" si="16"/>
        <v>geen actie</v>
      </c>
      <c r="CA160" s="150">
        <f>Tabel2[[#This Row],[pnt t/m 2021/22]]</f>
        <v>140</v>
      </c>
      <c r="CB160" s="150">
        <f>Tabel2[[#This Row],[pnt 2022/2023]]</f>
        <v>0</v>
      </c>
      <c r="CC160" s="150">
        <f t="shared" si="22"/>
        <v>140</v>
      </c>
      <c r="CD160" s="150">
        <f>IF(Tabel2[[#This Row],[LPR 1]]&gt;0,1,0)</f>
        <v>0</v>
      </c>
      <c r="CE160" s="150">
        <f>IF(Tabel2[[#This Row],[LPR 2]]&gt;0,1,0)</f>
        <v>0</v>
      </c>
      <c r="CF160" s="150">
        <f>IF(Tabel2[[#This Row],[LPR 3]]&gt;0,1,0)</f>
        <v>0</v>
      </c>
      <c r="CG160" s="150">
        <f>IF(Tabel2[[#This Row],[LPR 4]]&gt;0,1,0)</f>
        <v>0</v>
      </c>
      <c r="CH160" s="150">
        <f>IF(Tabel2[[#This Row],[LPR 5]]&gt;0,1,0)</f>
        <v>0</v>
      </c>
      <c r="CI160" s="150">
        <f>IF(Tabel2[[#This Row],[LPR 6]]&gt;0,1,0)</f>
        <v>0</v>
      </c>
      <c r="CJ160" s="150">
        <f>IF(Tabel2[[#This Row],[LPR 7]]&gt;0,1,0)</f>
        <v>0</v>
      </c>
      <c r="CK160" s="150">
        <f>IF(Tabel2[[#This Row],[LPR 8]]&gt;0,1,0)</f>
        <v>0</v>
      </c>
      <c r="CL160" s="150">
        <f>IF(Tabel2[[#This Row],[LPR 9]]&gt;0,1,0)</f>
        <v>0</v>
      </c>
      <c r="CM160" s="150">
        <f>IF(Tabel2[[#This Row],[LPR 10]]&gt;0,1,0)</f>
        <v>0</v>
      </c>
      <c r="CN160" s="150">
        <f>SUM(Tabel7[[#This Row],[sep]:[jun]])</f>
        <v>0</v>
      </c>
      <c r="CO160" s="22" t="str">
        <f t="shared" si="17"/>
        <v/>
      </c>
      <c r="CP160" s="22" t="str">
        <f t="shared" si="18"/>
        <v/>
      </c>
      <c r="CQ160" s="22" t="str">
        <f t="shared" si="19"/>
        <v/>
      </c>
      <c r="CR160" s="22" t="str">
        <f t="shared" si="20"/>
        <v/>
      </c>
      <c r="CS160" s="22" t="str">
        <f t="shared" si="21"/>
        <v/>
      </c>
    </row>
    <row r="161" spans="1:97" x14ac:dyDescent="0.3">
      <c r="A161" s="22" t="s">
        <v>159</v>
      </c>
      <c r="B161" s="22" t="s">
        <v>149</v>
      </c>
      <c r="D161" s="22" t="s">
        <v>163</v>
      </c>
      <c r="E161" t="s">
        <v>345</v>
      </c>
      <c r="F161" s="22">
        <v>120186</v>
      </c>
      <c r="G161" t="s">
        <v>167</v>
      </c>
      <c r="H161" s="142">
        <f>Tabel2[[#This Row],[pnt t/m 2021/22]]+Tabel2[[#This Row],[pnt 2022/2023]]</f>
        <v>841.33116883116884</v>
      </c>
      <c r="I161">
        <v>2009</v>
      </c>
      <c r="J161">
        <v>2023</v>
      </c>
      <c r="K161" s="24">
        <f>Tabel2[[#This Row],[ijkdatum]]-Tabel2[[#This Row],[Geboren]]</f>
        <v>14</v>
      </c>
      <c r="L161" s="26">
        <f>Tabel2[[#This Row],[TTL 1]]+Tabel2[[#This Row],[TTL 2]]+Tabel2[[#This Row],[TTL 3]]+Tabel2[[#This Row],[TTL 4]]+Tabel2[[#This Row],[TTL 5]]+Tabel2[[#This Row],[TTL 6]]+Tabel2[[#This Row],[TTL 7]]+Tabel2[[#This Row],[TTL 8]]+Tabel2[[#This Row],[TTL 9]]+Tabel2[[#This Row],[TTL 10]]</f>
        <v>0</v>
      </c>
      <c r="M161" s="141">
        <v>841.33116883116884</v>
      </c>
      <c r="O161">
        <v>1</v>
      </c>
      <c r="S161" s="23">
        <f>SUM(Tabel2[[#This Row],[V 1]]*10+Tabel2[[#This Row],[GT 1]])/Tabel2[[#This Row],[AW 1]]*10+Tabel2[[#This Row],[BONUS 1]]</f>
        <v>0</v>
      </c>
      <c r="U161">
        <v>1</v>
      </c>
      <c r="Y161" s="23">
        <f>SUM(Tabel2[[#This Row],[V 2]]*10+Tabel2[[#This Row],[GT 2]])/Tabel2[[#This Row],[AW 2]]*10+Tabel2[[#This Row],[BONUS 2]]</f>
        <v>0</v>
      </c>
      <c r="AA161">
        <v>1</v>
      </c>
      <c r="AE161" s="23">
        <f>SUM(Tabel2[[#This Row],[V 3]]*10+Tabel2[[#This Row],[GT 3]])/Tabel2[[#This Row],[AW 3]]*10+Tabel2[[#This Row],[BONUS 3]]</f>
        <v>0</v>
      </c>
      <c r="AG161">
        <v>1</v>
      </c>
      <c r="AK161" s="23">
        <f>SUM(Tabel2[[#This Row],[V 4]]*10+Tabel2[[#This Row],[GT 4]])/Tabel2[[#This Row],[AW 4]]*10+Tabel2[[#This Row],[BONUS 4]]</f>
        <v>0</v>
      </c>
      <c r="AM161">
        <v>1</v>
      </c>
      <c r="AQ161" s="23">
        <f>SUM(Tabel2[[#This Row],[V 5]]*10+Tabel2[[#This Row],[GT 5]])/Tabel2[[#This Row],[AW 5]]*10+Tabel2[[#This Row],[BONUS 5]]</f>
        <v>0</v>
      </c>
      <c r="AS161">
        <v>1</v>
      </c>
      <c r="AW161" s="23">
        <f>SUM(Tabel2[[#This Row],[V 6]]*10+Tabel2[[#This Row],[GT 6]])/Tabel2[[#This Row],[AW 6]]*10+Tabel2[[#This Row],[BONUS 6]]</f>
        <v>0</v>
      </c>
      <c r="AY161">
        <v>1</v>
      </c>
      <c r="BC161" s="23">
        <f>SUM(Tabel2[[#This Row],[V 7]]*10+Tabel2[[#This Row],[GT 7]])/Tabel2[[#This Row],[AW 7]]*10+Tabel2[[#This Row],[BONUS 7]]</f>
        <v>0</v>
      </c>
      <c r="BE161">
        <v>1</v>
      </c>
      <c r="BI161" s="23">
        <f>SUM(Tabel2[[#This Row],[V 8]]*10+Tabel2[[#This Row],[GT 8]])/Tabel2[[#This Row],[AW 8]]*10+Tabel2[[#This Row],[BONUS 8]]</f>
        <v>0</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1" s="22">
        <v>750</v>
      </c>
      <c r="BX161" s="30">
        <f>Tabel2[[#This Row],[Diploma]]-Tabel2[[#This Row],[Uitgeschreven]]</f>
        <v>0</v>
      </c>
      <c r="BY161" s="2" t="str">
        <f t="shared" si="16"/>
        <v>geen actie</v>
      </c>
      <c r="CA161" s="150">
        <f>Tabel2[[#This Row],[pnt t/m 2021/22]]</f>
        <v>841.33116883116884</v>
      </c>
      <c r="CB161" s="150">
        <f>Tabel2[[#This Row],[pnt 2022/2023]]</f>
        <v>0</v>
      </c>
      <c r="CC161" s="150">
        <f t="shared" si="22"/>
        <v>841.33116883116884</v>
      </c>
      <c r="CD161" s="150">
        <f>IF(Tabel2[[#This Row],[LPR 1]]&gt;0,1,0)</f>
        <v>0</v>
      </c>
      <c r="CE161" s="150">
        <f>IF(Tabel2[[#This Row],[LPR 2]]&gt;0,1,0)</f>
        <v>0</v>
      </c>
      <c r="CF161" s="150">
        <f>IF(Tabel2[[#This Row],[LPR 3]]&gt;0,1,0)</f>
        <v>0</v>
      </c>
      <c r="CG161" s="150">
        <f>IF(Tabel2[[#This Row],[LPR 4]]&gt;0,1,0)</f>
        <v>0</v>
      </c>
      <c r="CH161" s="150">
        <f>IF(Tabel2[[#This Row],[LPR 5]]&gt;0,1,0)</f>
        <v>0</v>
      </c>
      <c r="CI161" s="150">
        <f>IF(Tabel2[[#This Row],[LPR 6]]&gt;0,1,0)</f>
        <v>0</v>
      </c>
      <c r="CJ161" s="150">
        <f>IF(Tabel2[[#This Row],[LPR 7]]&gt;0,1,0)</f>
        <v>0</v>
      </c>
      <c r="CK161" s="150">
        <f>IF(Tabel2[[#This Row],[LPR 8]]&gt;0,1,0)</f>
        <v>0</v>
      </c>
      <c r="CL161" s="150">
        <f>IF(Tabel2[[#This Row],[LPR 9]]&gt;0,1,0)</f>
        <v>0</v>
      </c>
      <c r="CM161" s="150">
        <f>IF(Tabel2[[#This Row],[LPR 10]]&gt;0,1,0)</f>
        <v>0</v>
      </c>
      <c r="CN161" s="150">
        <f>SUM(Tabel7[[#This Row],[sep]:[jun]])</f>
        <v>0</v>
      </c>
      <c r="CO161" s="22" t="str">
        <f t="shared" si="17"/>
        <v/>
      </c>
      <c r="CP161" s="22" t="str">
        <f t="shared" si="18"/>
        <v/>
      </c>
      <c r="CQ161" s="22" t="str">
        <f t="shared" si="19"/>
        <v/>
      </c>
      <c r="CR161" s="22" t="str">
        <f t="shared" si="20"/>
        <v/>
      </c>
      <c r="CS161" s="22" t="str">
        <f t="shared" si="21"/>
        <v/>
      </c>
    </row>
    <row r="162" spans="1:97" x14ac:dyDescent="0.3">
      <c r="A162" s="22" t="s">
        <v>190</v>
      </c>
      <c r="B162" s="22" t="s">
        <v>149</v>
      </c>
      <c r="D162" s="22" t="s">
        <v>160</v>
      </c>
      <c r="E162" t="s">
        <v>346</v>
      </c>
      <c r="F162" s="22">
        <v>120872</v>
      </c>
      <c r="G162" t="s">
        <v>179</v>
      </c>
      <c r="H162" s="23">
        <f>Tabel2[[#This Row],[pnt t/m 2021/22]]+Tabel2[[#This Row],[pnt 2022/2023]]</f>
        <v>226.12745098039215</v>
      </c>
      <c r="I162">
        <v>2012</v>
      </c>
      <c r="J162">
        <v>2023</v>
      </c>
      <c r="K162" s="24">
        <f>Tabel2[[#This Row],[ijkdatum]]-Tabel2[[#This Row],[Geboren]]</f>
        <v>11</v>
      </c>
      <c r="L162" s="26">
        <f>Tabel2[[#This Row],[TTL 1]]+Tabel2[[#This Row],[TTL 2]]+Tabel2[[#This Row],[TTL 3]]+Tabel2[[#This Row],[TTL 4]]+Tabel2[[#This Row],[TTL 5]]+Tabel2[[#This Row],[TTL 6]]+Tabel2[[#This Row],[TTL 7]]+Tabel2[[#This Row],[TTL 8]]+Tabel2[[#This Row],[TTL 9]]+Tabel2[[#This Row],[TTL 10]]</f>
        <v>125.29411764705883</v>
      </c>
      <c r="M162" s="153">
        <v>100.83333333333334</v>
      </c>
      <c r="N162">
        <v>10</v>
      </c>
      <c r="O162">
        <v>17</v>
      </c>
      <c r="P162">
        <v>1</v>
      </c>
      <c r="Q162">
        <v>33</v>
      </c>
      <c r="R162">
        <v>100</v>
      </c>
      <c r="S162" s="23">
        <f>SUM(Tabel2[[#This Row],[V 1]]*10+Tabel2[[#This Row],[GT 1]])/Tabel2[[#This Row],[AW 1]]*10+Tabel2[[#This Row],[BONUS 1]]</f>
        <v>125.29411764705883</v>
      </c>
      <c r="U162">
        <v>1</v>
      </c>
      <c r="Y162" s="153">
        <f>SUM(Tabel2[[#This Row],[V 2]]*10+Tabel2[[#This Row],[GT 2]])/Tabel2[[#This Row],[AW 2]]*10+Tabel2[[#This Row],[BONUS 2]]</f>
        <v>0</v>
      </c>
      <c r="AA162">
        <v>1</v>
      </c>
      <c r="AE162" s="153">
        <f>SUM(Tabel2[[#This Row],[V 3]]*10+Tabel2[[#This Row],[GT 3]])/Tabel2[[#This Row],[AW 3]]*10+Tabel2[[#This Row],[BONUS 3]]</f>
        <v>0</v>
      </c>
      <c r="AG162">
        <v>1</v>
      </c>
      <c r="AK162" s="153">
        <f>SUM(Tabel2[[#This Row],[V 4]]*10+Tabel2[[#This Row],[GT 4]])/Tabel2[[#This Row],[AW 4]]*10+Tabel2[[#This Row],[BONUS 4]]</f>
        <v>0</v>
      </c>
      <c r="AM162">
        <v>1</v>
      </c>
      <c r="AQ162" s="153">
        <f>SUM(Tabel2[[#This Row],[V 5]]*10+Tabel2[[#This Row],[GT 5]])/Tabel2[[#This Row],[AW 5]]*10+Tabel2[[#This Row],[BONUS 5]]</f>
        <v>0</v>
      </c>
      <c r="AS162">
        <v>1</v>
      </c>
      <c r="AW162" s="153">
        <f>SUM(Tabel2[[#This Row],[V 6]]*10+Tabel2[[#This Row],[GT 6]])/Tabel2[[#This Row],[AW 6]]*10+Tabel2[[#This Row],[BONUS 6]]</f>
        <v>0</v>
      </c>
      <c r="AY162">
        <v>1</v>
      </c>
      <c r="BC162" s="153">
        <f>SUM(Tabel2[[#This Row],[V 7]]*10+Tabel2[[#This Row],[GT 7]])/Tabel2[[#This Row],[AW 7]]*10+Tabel2[[#This Row],[BONUS 7]]</f>
        <v>0</v>
      </c>
      <c r="BE162">
        <v>1</v>
      </c>
      <c r="BI162" s="153">
        <f>SUM(Tabel2[[#This Row],[V 8]]*10+Tabel2[[#This Row],[GT 8]])/Tabel2[[#This Row],[AW 8]]*10+Tabel2[[#This Row],[BONUS 8]]</f>
        <v>0</v>
      </c>
      <c r="BK162">
        <v>1</v>
      </c>
      <c r="BO162" s="153">
        <f>SUM(Tabel2[[#This Row],[V 9]]*10+Tabel2[[#This Row],[GT 9]])/Tabel2[[#This Row],[AW 9]]*10+Tabel2[[#This Row],[BONUS 9]]</f>
        <v>0</v>
      </c>
      <c r="BQ162">
        <v>1</v>
      </c>
      <c r="BU162" s="23">
        <f>SUM(Tabel2[[#This Row],[V 10]]*10+Tabel2[[#This Row],[GT 10]])/Tabel2[[#This Row],[AW 10]]*10+Tabel2[[#This Row],[BONUS 10]]</f>
        <v>0</v>
      </c>
      <c r="BV16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22">
        <v>0</v>
      </c>
      <c r="BX162" s="22">
        <f>Tabel2[[#This Row],[Diploma]]-Tabel2[[#This Row],[Uitgeschreven]]</f>
        <v>0</v>
      </c>
      <c r="BY162" s="155" t="str">
        <f t="shared" si="16"/>
        <v>geen actie</v>
      </c>
      <c r="CA162" s="150">
        <f>Tabel2[[#This Row],[pnt t/m 2021/22]]</f>
        <v>100.83333333333334</v>
      </c>
      <c r="CB162" s="150">
        <f>Tabel2[[#This Row],[pnt 2022/2023]]</f>
        <v>125.29411764705883</v>
      </c>
      <c r="CC162" s="150">
        <f t="shared" si="22"/>
        <v>226.12745098039215</v>
      </c>
      <c r="CD162" s="150">
        <f>IF(Tabel2[[#This Row],[LPR 1]]&gt;0,1,0)</f>
        <v>1</v>
      </c>
      <c r="CE162" s="150">
        <f>IF(Tabel2[[#This Row],[LPR 2]]&gt;0,1,0)</f>
        <v>0</v>
      </c>
      <c r="CF162" s="150">
        <f>IF(Tabel2[[#This Row],[LPR 3]]&gt;0,1,0)</f>
        <v>0</v>
      </c>
      <c r="CG162" s="150">
        <f>IF(Tabel2[[#This Row],[LPR 4]]&gt;0,1,0)</f>
        <v>0</v>
      </c>
      <c r="CH162" s="150">
        <f>IF(Tabel2[[#This Row],[LPR 5]]&gt;0,1,0)</f>
        <v>0</v>
      </c>
      <c r="CI162" s="150">
        <f>IF(Tabel2[[#This Row],[LPR 6]]&gt;0,1,0)</f>
        <v>0</v>
      </c>
      <c r="CJ162" s="150">
        <f>IF(Tabel2[[#This Row],[LPR 7]]&gt;0,1,0)</f>
        <v>0</v>
      </c>
      <c r="CK162" s="150">
        <f>IF(Tabel2[[#This Row],[LPR 8]]&gt;0,1,0)</f>
        <v>0</v>
      </c>
      <c r="CL162" s="150">
        <f>IF(Tabel2[[#This Row],[LPR 9]]&gt;0,1,0)</f>
        <v>0</v>
      </c>
      <c r="CM162" s="150">
        <f>IF(Tabel2[[#This Row],[LPR 10]]&gt;0,1,0)</f>
        <v>0</v>
      </c>
      <c r="CN162" s="150">
        <f>SUM(Tabel7[[#This Row],[sep]:[jun]])</f>
        <v>1</v>
      </c>
      <c r="CO162" s="22" t="str">
        <f t="shared" si="17"/>
        <v/>
      </c>
      <c r="CP162" s="22" t="str">
        <f t="shared" si="18"/>
        <v/>
      </c>
      <c r="CQ162" s="22" t="str">
        <f t="shared" si="19"/>
        <v/>
      </c>
      <c r="CR162" s="22" t="str">
        <f t="shared" si="20"/>
        <v/>
      </c>
      <c r="CS162" s="22" t="str">
        <f t="shared" si="21"/>
        <v/>
      </c>
    </row>
    <row r="163" spans="1:97" x14ac:dyDescent="0.3">
      <c r="A163" s="22" t="s">
        <v>156</v>
      </c>
      <c r="B163" s="22" t="s">
        <v>157</v>
      </c>
      <c r="D163" s="22" t="s">
        <v>163</v>
      </c>
      <c r="E163" t="s">
        <v>347</v>
      </c>
      <c r="F163" s="22">
        <v>119581</v>
      </c>
      <c r="G163" t="s">
        <v>201</v>
      </c>
      <c r="H163" s="23">
        <f>Tabel2[[#This Row],[pnt t/m 2021/22]]+Tabel2[[#This Row],[pnt 2022/2023]]</f>
        <v>36.666666666666664</v>
      </c>
      <c r="I163">
        <v>2007</v>
      </c>
      <c r="J163">
        <v>2023</v>
      </c>
      <c r="K163" s="24">
        <f>Tabel2[[#This Row],[ijkdatum]]-Tabel2[[#This Row],[Geboren]]</f>
        <v>16</v>
      </c>
      <c r="L163" s="26">
        <f>Tabel2[[#This Row],[TTL 1]]+Tabel2[[#This Row],[TTL 2]]+Tabel2[[#This Row],[TTL 3]]+Tabel2[[#This Row],[TTL 4]]+Tabel2[[#This Row],[TTL 5]]+Tabel2[[#This Row],[TTL 6]]+Tabel2[[#This Row],[TTL 7]]+Tabel2[[#This Row],[TTL 8]]+Tabel2[[#This Row],[TTL 9]]+Tabel2[[#This Row],[TTL 10]]</f>
        <v>0</v>
      </c>
      <c r="M163" s="153">
        <v>36.666666666666664</v>
      </c>
      <c r="O163">
        <v>1</v>
      </c>
      <c r="S163" s="153">
        <f>SUM(Tabel2[[#This Row],[V 1]]*10+Tabel2[[#This Row],[GT 1]])/Tabel2[[#This Row],[AW 1]]*10+Tabel2[[#This Row],[BONUS 1]]</f>
        <v>0</v>
      </c>
      <c r="U163">
        <v>1</v>
      </c>
      <c r="Y163" s="153">
        <f>SUM(Tabel2[[#This Row],[V 2]]*10+Tabel2[[#This Row],[GT 2]])/Tabel2[[#This Row],[AW 2]]*10+Tabel2[[#This Row],[BONUS 2]]</f>
        <v>0</v>
      </c>
      <c r="AA163">
        <v>1</v>
      </c>
      <c r="AE163" s="153">
        <f>SUM(Tabel2[[#This Row],[V 3]]*10+Tabel2[[#This Row],[GT 3]])/Tabel2[[#This Row],[AW 3]]*10+Tabel2[[#This Row],[BONUS 3]]</f>
        <v>0</v>
      </c>
      <c r="AG163">
        <v>1</v>
      </c>
      <c r="AK163" s="153">
        <f>SUM(Tabel2[[#This Row],[V 4]]*10+Tabel2[[#This Row],[GT 4]])/Tabel2[[#This Row],[AW 4]]*10+Tabel2[[#This Row],[BONUS 4]]</f>
        <v>0</v>
      </c>
      <c r="AM163">
        <v>1</v>
      </c>
      <c r="AQ163" s="153">
        <f>SUM(Tabel2[[#This Row],[V 5]]*10+Tabel2[[#This Row],[GT 5]])/Tabel2[[#This Row],[AW 5]]*10+Tabel2[[#This Row],[BONUS 5]]</f>
        <v>0</v>
      </c>
      <c r="AS163">
        <v>1</v>
      </c>
      <c r="AW163" s="153">
        <f>SUM(Tabel2[[#This Row],[V 6]]*10+Tabel2[[#This Row],[GT 6]])/Tabel2[[#This Row],[AW 6]]*10+Tabel2[[#This Row],[BONUS 6]]</f>
        <v>0</v>
      </c>
      <c r="AY163">
        <v>1</v>
      </c>
      <c r="BC163" s="153">
        <f>SUM(Tabel2[[#This Row],[V 7]]*10+Tabel2[[#This Row],[GT 7]])/Tabel2[[#This Row],[AW 7]]*10+Tabel2[[#This Row],[BONUS 7]]</f>
        <v>0</v>
      </c>
      <c r="BE163">
        <v>1</v>
      </c>
      <c r="BI163" s="23">
        <f>SUM(Tabel2[[#This Row],[V 8]]*10+Tabel2[[#This Row],[GT 8]])/Tabel2[[#This Row],[AW 8]]*10+Tabel2[[#This Row],[BONUS 8]]</f>
        <v>0</v>
      </c>
      <c r="BK163">
        <v>1</v>
      </c>
      <c r="BO163" s="153">
        <f>SUM(Tabel2[[#This Row],[V 9]]*10+Tabel2[[#This Row],[GT 9]])/Tabel2[[#This Row],[AW 9]]*10+Tabel2[[#This Row],[BONUS 9]]</f>
        <v>0</v>
      </c>
      <c r="BQ163">
        <v>1</v>
      </c>
      <c r="BU163" s="23">
        <f>SUM(Tabel2[[#This Row],[V 10]]*10+Tabel2[[#This Row],[GT 10]])/Tabel2[[#This Row],[AW 10]]*10+Tabel2[[#This Row],[BONUS 10]]</f>
        <v>0</v>
      </c>
      <c r="BV16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3" s="22">
        <v>0</v>
      </c>
      <c r="BX163" s="22">
        <f>Tabel2[[#This Row],[Diploma]]-Tabel2[[#This Row],[Uitgeschreven]]</f>
        <v>0</v>
      </c>
      <c r="BY163" s="155" t="str">
        <f t="shared" si="16"/>
        <v>geen actie</v>
      </c>
      <c r="CA163" s="150">
        <f>Tabel2[[#This Row],[pnt t/m 2021/22]]</f>
        <v>36.666666666666664</v>
      </c>
      <c r="CB163" s="150">
        <f>Tabel2[[#This Row],[pnt 2022/2023]]</f>
        <v>0</v>
      </c>
      <c r="CC163" s="150">
        <f t="shared" si="22"/>
        <v>36.666666666666664</v>
      </c>
      <c r="CD163" s="150">
        <f>IF(Tabel2[[#This Row],[LPR 1]]&gt;0,1,0)</f>
        <v>0</v>
      </c>
      <c r="CE163" s="150">
        <f>IF(Tabel2[[#This Row],[LPR 2]]&gt;0,1,0)</f>
        <v>0</v>
      </c>
      <c r="CF163" s="150">
        <f>IF(Tabel2[[#This Row],[LPR 3]]&gt;0,1,0)</f>
        <v>0</v>
      </c>
      <c r="CG163" s="150">
        <f>IF(Tabel2[[#This Row],[LPR 4]]&gt;0,1,0)</f>
        <v>0</v>
      </c>
      <c r="CH163" s="150">
        <f>IF(Tabel2[[#This Row],[LPR 5]]&gt;0,1,0)</f>
        <v>0</v>
      </c>
      <c r="CI163" s="150">
        <f>IF(Tabel2[[#This Row],[LPR 6]]&gt;0,1,0)</f>
        <v>0</v>
      </c>
      <c r="CJ163" s="150">
        <f>IF(Tabel2[[#This Row],[LPR 7]]&gt;0,1,0)</f>
        <v>0</v>
      </c>
      <c r="CK163" s="150">
        <f>IF(Tabel2[[#This Row],[LPR 8]]&gt;0,1,0)</f>
        <v>0</v>
      </c>
      <c r="CL163" s="150">
        <f>IF(Tabel2[[#This Row],[LPR 9]]&gt;0,1,0)</f>
        <v>0</v>
      </c>
      <c r="CM163" s="150">
        <f>IF(Tabel2[[#This Row],[LPR 10]]&gt;0,1,0)</f>
        <v>0</v>
      </c>
      <c r="CN163" s="150">
        <f>SUM(Tabel7[[#This Row],[sep]:[jun]])</f>
        <v>0</v>
      </c>
      <c r="CO163" s="22" t="str">
        <f t="shared" si="17"/>
        <v/>
      </c>
      <c r="CP163" s="22" t="str">
        <f t="shared" si="18"/>
        <v/>
      </c>
      <c r="CQ163" s="22" t="str">
        <f t="shared" si="19"/>
        <v/>
      </c>
      <c r="CR163" s="22" t="str">
        <f t="shared" si="20"/>
        <v/>
      </c>
      <c r="CS163" s="22" t="str">
        <f t="shared" si="21"/>
        <v/>
      </c>
    </row>
    <row r="164" spans="1:97" x14ac:dyDescent="0.3">
      <c r="A164" s="22" t="s">
        <v>173</v>
      </c>
      <c r="B164" s="22" t="s">
        <v>149</v>
      </c>
      <c r="D164" s="22" t="s">
        <v>163</v>
      </c>
      <c r="E164" t="s">
        <v>348</v>
      </c>
      <c r="F164" s="22">
        <v>118155</v>
      </c>
      <c r="G164" t="s">
        <v>274</v>
      </c>
      <c r="H164" s="23">
        <f>Tabel2[[#This Row],[pnt t/m 2021/22]]+Tabel2[[#This Row],[pnt 2022/2023]]</f>
        <v>117</v>
      </c>
      <c r="I164">
        <v>2011</v>
      </c>
      <c r="J164">
        <v>2023</v>
      </c>
      <c r="K164" s="24">
        <f>Tabel2[[#This Row],[ijkdatum]]-Tabel2[[#This Row],[Geboren]]</f>
        <v>12</v>
      </c>
      <c r="L164" s="26">
        <f>Tabel2[[#This Row],[TTL 1]]+Tabel2[[#This Row],[TTL 2]]+Tabel2[[#This Row],[TTL 3]]+Tabel2[[#This Row],[TTL 4]]+Tabel2[[#This Row],[TTL 5]]+Tabel2[[#This Row],[TTL 6]]+Tabel2[[#This Row],[TTL 7]]+Tabel2[[#This Row],[TTL 8]]+Tabel2[[#This Row],[TTL 9]]+Tabel2[[#This Row],[TTL 10]]</f>
        <v>0</v>
      </c>
      <c r="M164" s="153">
        <v>117</v>
      </c>
      <c r="O164">
        <v>1</v>
      </c>
      <c r="S164" s="153">
        <f>SUM(Tabel2[[#This Row],[V 1]]*10+Tabel2[[#This Row],[GT 1]])/Tabel2[[#This Row],[AW 1]]*10+Tabel2[[#This Row],[BONUS 1]]</f>
        <v>0</v>
      </c>
      <c r="U164">
        <v>1</v>
      </c>
      <c r="Y164" s="23">
        <f>SUM(Tabel2[[#This Row],[V 2]]*10+Tabel2[[#This Row],[GT 2]])/Tabel2[[#This Row],[AW 2]]*10+Tabel2[[#This Row],[BONUS 2]]</f>
        <v>0</v>
      </c>
      <c r="AA164">
        <v>1</v>
      </c>
      <c r="AE164" s="23">
        <f>SUM(Tabel2[[#This Row],[V 3]]*10+Tabel2[[#This Row],[GT 3]])/Tabel2[[#This Row],[AW 3]]*10+Tabel2[[#This Row],[BONUS 3]]</f>
        <v>0</v>
      </c>
      <c r="AG164">
        <v>1</v>
      </c>
      <c r="AK164" s="23">
        <f>SUM(Tabel2[[#This Row],[V 4]]*10+Tabel2[[#This Row],[GT 4]])/Tabel2[[#This Row],[AW 4]]*10+Tabel2[[#This Row],[BONUS 4]]</f>
        <v>0</v>
      </c>
      <c r="AM164">
        <v>1</v>
      </c>
      <c r="AQ164" s="23">
        <f>SUM(Tabel2[[#This Row],[V 5]]*10+Tabel2[[#This Row],[GT 5]])/Tabel2[[#This Row],[AW 5]]*10+Tabel2[[#This Row],[BONUS 5]]</f>
        <v>0</v>
      </c>
      <c r="AS164">
        <v>1</v>
      </c>
      <c r="AW164" s="23">
        <f>SUM(Tabel2[[#This Row],[V 6]]*10+Tabel2[[#This Row],[GT 6]])/Tabel2[[#This Row],[AW 6]]*10+Tabel2[[#This Row],[BONUS 6]]</f>
        <v>0</v>
      </c>
      <c r="AY164">
        <v>1</v>
      </c>
      <c r="BC164" s="23">
        <f>SUM(Tabel2[[#This Row],[V 7]]*10+Tabel2[[#This Row],[GT 7]])/Tabel2[[#This Row],[AW 7]]*10+Tabel2[[#This Row],[BONUS 7]]</f>
        <v>0</v>
      </c>
      <c r="BE164">
        <v>1</v>
      </c>
      <c r="BI164" s="23">
        <f>SUM(Tabel2[[#This Row],[V 8]]*10+Tabel2[[#This Row],[GT 8]])/Tabel2[[#This Row],[AW 8]]*10+Tabel2[[#This Row],[BONUS 8]]</f>
        <v>0</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4" s="22">
        <v>0</v>
      </c>
      <c r="BX164" s="22">
        <f>Tabel2[[#This Row],[Diploma]]-Tabel2[[#This Row],[Uitgeschreven]]</f>
        <v>0</v>
      </c>
      <c r="BY164" s="155" t="str">
        <f t="shared" si="16"/>
        <v>geen actie</v>
      </c>
      <c r="CA164" s="150">
        <f>Tabel2[[#This Row],[pnt t/m 2021/22]]</f>
        <v>117</v>
      </c>
      <c r="CB164" s="150">
        <f>Tabel2[[#This Row],[pnt 2022/2023]]</f>
        <v>0</v>
      </c>
      <c r="CC164" s="150">
        <f t="shared" si="22"/>
        <v>117</v>
      </c>
      <c r="CD164" s="150">
        <f>IF(Tabel2[[#This Row],[LPR 1]]&gt;0,1,0)</f>
        <v>0</v>
      </c>
      <c r="CE164" s="150">
        <f>IF(Tabel2[[#This Row],[LPR 2]]&gt;0,1,0)</f>
        <v>0</v>
      </c>
      <c r="CF164" s="150">
        <f>IF(Tabel2[[#This Row],[LPR 3]]&gt;0,1,0)</f>
        <v>0</v>
      </c>
      <c r="CG164" s="150">
        <f>IF(Tabel2[[#This Row],[LPR 4]]&gt;0,1,0)</f>
        <v>0</v>
      </c>
      <c r="CH164" s="150">
        <f>IF(Tabel2[[#This Row],[LPR 5]]&gt;0,1,0)</f>
        <v>0</v>
      </c>
      <c r="CI164" s="150">
        <f>IF(Tabel2[[#This Row],[LPR 6]]&gt;0,1,0)</f>
        <v>0</v>
      </c>
      <c r="CJ164" s="150">
        <f>IF(Tabel2[[#This Row],[LPR 7]]&gt;0,1,0)</f>
        <v>0</v>
      </c>
      <c r="CK164" s="150">
        <f>IF(Tabel2[[#This Row],[LPR 8]]&gt;0,1,0)</f>
        <v>0</v>
      </c>
      <c r="CL164" s="150">
        <f>IF(Tabel2[[#This Row],[LPR 9]]&gt;0,1,0)</f>
        <v>0</v>
      </c>
      <c r="CM164" s="150">
        <f>IF(Tabel2[[#This Row],[LPR 10]]&gt;0,1,0)</f>
        <v>0</v>
      </c>
      <c r="CN164" s="150">
        <f>SUM(Tabel7[[#This Row],[sep]:[jun]])</f>
        <v>0</v>
      </c>
      <c r="CO164" s="22" t="str">
        <f t="shared" si="17"/>
        <v/>
      </c>
      <c r="CP164" s="22" t="str">
        <f t="shared" si="18"/>
        <v/>
      </c>
      <c r="CQ164" s="22" t="str">
        <f t="shared" si="19"/>
        <v/>
      </c>
      <c r="CR164" s="22" t="str">
        <f t="shared" si="20"/>
        <v/>
      </c>
      <c r="CS164" s="22" t="str">
        <f t="shared" si="21"/>
        <v/>
      </c>
    </row>
    <row r="165" spans="1:97" x14ac:dyDescent="0.3">
      <c r="A165" s="22" t="s">
        <v>173</v>
      </c>
      <c r="B165" s="22" t="s">
        <v>149</v>
      </c>
      <c r="D165" s="22" t="s">
        <v>163</v>
      </c>
      <c r="E165" t="s">
        <v>349</v>
      </c>
      <c r="F165" s="22">
        <v>119803</v>
      </c>
      <c r="G165" t="s">
        <v>224</v>
      </c>
      <c r="H165" s="142">
        <f>Tabel2[[#This Row],[pnt t/m 2021/22]]+Tabel2[[#This Row],[pnt 2022/2023]]</f>
        <v>228.73737373737373</v>
      </c>
      <c r="I165">
        <v>2011</v>
      </c>
      <c r="J165">
        <v>2023</v>
      </c>
      <c r="K165" s="24">
        <f>Tabel2[[#This Row],[ijkdatum]]-Tabel2[[#This Row],[Geboren]]</f>
        <v>12</v>
      </c>
      <c r="L165" s="26">
        <f>Tabel2[[#This Row],[TTL 1]]+Tabel2[[#This Row],[TTL 2]]+Tabel2[[#This Row],[TTL 3]]+Tabel2[[#This Row],[TTL 4]]+Tabel2[[#This Row],[TTL 5]]+Tabel2[[#This Row],[TTL 6]]+Tabel2[[#This Row],[TTL 7]]+Tabel2[[#This Row],[TTL 8]]+Tabel2[[#This Row],[TTL 9]]+Tabel2[[#This Row],[TTL 10]]</f>
        <v>0</v>
      </c>
      <c r="M165" s="141">
        <v>228.73737373737373</v>
      </c>
      <c r="O165">
        <v>1</v>
      </c>
      <c r="S165" s="23">
        <f>SUM(Tabel2[[#This Row],[V 1]]*10+Tabel2[[#This Row],[GT 1]])/Tabel2[[#This Row],[AW 1]]*10+Tabel2[[#This Row],[BONUS 1]]</f>
        <v>0</v>
      </c>
      <c r="U165">
        <v>1</v>
      </c>
      <c r="Y165" s="23">
        <f>SUM(Tabel2[[#This Row],[V 2]]*10+Tabel2[[#This Row],[GT 2]])/Tabel2[[#This Row],[AW 2]]*10+Tabel2[[#This Row],[BONUS 2]]</f>
        <v>0</v>
      </c>
      <c r="AA165">
        <v>1</v>
      </c>
      <c r="AE165" s="23">
        <f>SUM(Tabel2[[#This Row],[V 3]]*10+Tabel2[[#This Row],[GT 3]])/Tabel2[[#This Row],[AW 3]]*10+Tabel2[[#This Row],[BONUS 3]]</f>
        <v>0</v>
      </c>
      <c r="AG165">
        <v>1</v>
      </c>
      <c r="AK165" s="23">
        <f>SUM(Tabel2[[#This Row],[V 4]]*10+Tabel2[[#This Row],[GT 4]])/Tabel2[[#This Row],[AW 4]]*10+Tabel2[[#This Row],[BONUS 4]]</f>
        <v>0</v>
      </c>
      <c r="AM165">
        <v>1</v>
      </c>
      <c r="AQ165" s="23">
        <f>SUM(Tabel2[[#This Row],[V 5]]*10+Tabel2[[#This Row],[GT 5]])/Tabel2[[#This Row],[AW 5]]*10+Tabel2[[#This Row],[BONUS 5]]</f>
        <v>0</v>
      </c>
      <c r="AS165">
        <v>1</v>
      </c>
      <c r="AW165" s="23">
        <f>SUM(Tabel2[[#This Row],[V 6]]*10+Tabel2[[#This Row],[GT 6]])/Tabel2[[#This Row],[AW 6]]*10+Tabel2[[#This Row],[BONUS 6]]</f>
        <v>0</v>
      </c>
      <c r="AY165">
        <v>1</v>
      </c>
      <c r="BC165" s="23">
        <f>SUM(Tabel2[[#This Row],[V 7]]*10+Tabel2[[#This Row],[GT 7]])/Tabel2[[#This Row],[AW 7]]*10+Tabel2[[#This Row],[BONUS 7]]</f>
        <v>0</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5" s="22">
        <v>0</v>
      </c>
      <c r="BX165" s="30">
        <f>Tabel2[[#This Row],[Diploma]]-Tabel2[[#This Row],[Uitgeschreven]]</f>
        <v>0</v>
      </c>
      <c r="BY165" s="2" t="str">
        <f t="shared" ref="BY165:BY196" si="23">IF(BX165=0,"geen actie",CONCATENATE("diploma uitschrijven: ",BV165," punten"))</f>
        <v>geen actie</v>
      </c>
      <c r="CA165" s="150">
        <f>Tabel2[[#This Row],[pnt t/m 2021/22]]</f>
        <v>228.73737373737373</v>
      </c>
      <c r="CB165" s="150">
        <f>Tabel2[[#This Row],[pnt 2022/2023]]</f>
        <v>0</v>
      </c>
      <c r="CC165" s="150">
        <f t="shared" si="22"/>
        <v>228.73737373737373</v>
      </c>
      <c r="CD165" s="150">
        <f>IF(Tabel2[[#This Row],[LPR 1]]&gt;0,1,0)</f>
        <v>0</v>
      </c>
      <c r="CE165" s="150">
        <f>IF(Tabel2[[#This Row],[LPR 2]]&gt;0,1,0)</f>
        <v>0</v>
      </c>
      <c r="CF165" s="150">
        <f>IF(Tabel2[[#This Row],[LPR 3]]&gt;0,1,0)</f>
        <v>0</v>
      </c>
      <c r="CG165" s="150">
        <f>IF(Tabel2[[#This Row],[LPR 4]]&gt;0,1,0)</f>
        <v>0</v>
      </c>
      <c r="CH165" s="150">
        <f>IF(Tabel2[[#This Row],[LPR 5]]&gt;0,1,0)</f>
        <v>0</v>
      </c>
      <c r="CI165" s="150">
        <f>IF(Tabel2[[#This Row],[LPR 6]]&gt;0,1,0)</f>
        <v>0</v>
      </c>
      <c r="CJ165" s="150">
        <f>IF(Tabel2[[#This Row],[LPR 7]]&gt;0,1,0)</f>
        <v>0</v>
      </c>
      <c r="CK165" s="150">
        <f>IF(Tabel2[[#This Row],[LPR 8]]&gt;0,1,0)</f>
        <v>0</v>
      </c>
      <c r="CL165" s="150">
        <f>IF(Tabel2[[#This Row],[LPR 9]]&gt;0,1,0)</f>
        <v>0</v>
      </c>
      <c r="CM165" s="150">
        <f>IF(Tabel2[[#This Row],[LPR 10]]&gt;0,1,0)</f>
        <v>0</v>
      </c>
      <c r="CN165" s="150">
        <f>SUM(Tabel7[[#This Row],[sep]:[jun]])</f>
        <v>0</v>
      </c>
      <c r="CO165" s="22" t="str">
        <f t="shared" si="17"/>
        <v/>
      </c>
      <c r="CP165" s="22" t="str">
        <f t="shared" si="18"/>
        <v/>
      </c>
      <c r="CQ165" s="22" t="str">
        <f t="shared" si="19"/>
        <v/>
      </c>
      <c r="CR165" s="22" t="str">
        <f t="shared" si="20"/>
        <v/>
      </c>
      <c r="CS165" s="22" t="str">
        <f t="shared" si="21"/>
        <v/>
      </c>
    </row>
    <row r="166" spans="1:97" x14ac:dyDescent="0.3">
      <c r="A166" s="22" t="s">
        <v>153</v>
      </c>
      <c r="B166" s="22" t="s">
        <v>149</v>
      </c>
      <c r="D166" s="22" t="s">
        <v>160</v>
      </c>
      <c r="E166" t="s">
        <v>350</v>
      </c>
      <c r="F166" s="22">
        <v>120281</v>
      </c>
      <c r="G166" t="s">
        <v>171</v>
      </c>
      <c r="H166" s="23">
        <f>Tabel2[[#This Row],[pnt t/m 2021/22]]+Tabel2[[#This Row],[pnt 2022/2023]]</f>
        <v>95.666666666666671</v>
      </c>
      <c r="I166">
        <v>2011</v>
      </c>
      <c r="J166">
        <v>2023</v>
      </c>
      <c r="K166" s="24">
        <f>Tabel2[[#This Row],[ijkdatum]]-Tabel2[[#This Row],[Geboren]]</f>
        <v>12</v>
      </c>
      <c r="L166" s="26">
        <f>Tabel2[[#This Row],[TTL 1]]+Tabel2[[#This Row],[TTL 2]]+Tabel2[[#This Row],[TTL 3]]+Tabel2[[#This Row],[TTL 4]]+Tabel2[[#This Row],[TTL 5]]+Tabel2[[#This Row],[TTL 6]]+Tabel2[[#This Row],[TTL 7]]+Tabel2[[#This Row],[TTL 8]]+Tabel2[[#This Row],[TTL 9]]+Tabel2[[#This Row],[TTL 10]]</f>
        <v>18.333333333333332</v>
      </c>
      <c r="M166" s="153">
        <v>77.333333333333343</v>
      </c>
      <c r="O166">
        <v>1</v>
      </c>
      <c r="S166" s="153">
        <f>SUM(Tabel2[[#This Row],[V 1]]*10+Tabel2[[#This Row],[GT 1]])/Tabel2[[#This Row],[AW 1]]*10+Tabel2[[#This Row],[BONUS 1]]</f>
        <v>0</v>
      </c>
      <c r="U166">
        <v>1</v>
      </c>
      <c r="Y166" s="23">
        <f>SUM(Tabel2[[#This Row],[V 2]]*10+Tabel2[[#This Row],[GT 2]])/Tabel2[[#This Row],[AW 2]]*10+Tabel2[[#This Row],[BONUS 2]]</f>
        <v>0</v>
      </c>
      <c r="Z166">
        <v>8</v>
      </c>
      <c r="AA166">
        <v>6</v>
      </c>
      <c r="AB166">
        <v>0</v>
      </c>
      <c r="AC166">
        <v>11</v>
      </c>
      <c r="AE166" s="23">
        <f>SUM(Tabel2[[#This Row],[V 3]]*10+Tabel2[[#This Row],[GT 3]])/Tabel2[[#This Row],[AW 3]]*10+Tabel2[[#This Row],[BONUS 3]]</f>
        <v>18.333333333333332</v>
      </c>
      <c r="AG166">
        <v>1</v>
      </c>
      <c r="AK166" s="23">
        <f>SUM(Tabel2[[#This Row],[V 4]]*10+Tabel2[[#This Row],[GT 4]])/Tabel2[[#This Row],[AW 4]]*10+Tabel2[[#This Row],[BONUS 4]]</f>
        <v>0</v>
      </c>
      <c r="AM166">
        <v>1</v>
      </c>
      <c r="AQ166" s="23">
        <f>SUM(Tabel2[[#This Row],[V 5]]*10+Tabel2[[#This Row],[GT 5]])/Tabel2[[#This Row],[AW 5]]*10+Tabel2[[#This Row],[BONUS 5]]</f>
        <v>0</v>
      </c>
      <c r="AS166">
        <v>1</v>
      </c>
      <c r="AW166" s="23">
        <f>SUM(Tabel2[[#This Row],[V 6]]*10+Tabel2[[#This Row],[GT 6]])/Tabel2[[#This Row],[AW 6]]*10+Tabel2[[#This Row],[BONUS 6]]</f>
        <v>0</v>
      </c>
      <c r="AY166">
        <v>1</v>
      </c>
      <c r="BC166" s="23">
        <f>SUM(Tabel2[[#This Row],[V 7]]*10+Tabel2[[#This Row],[GT 7]])/Tabel2[[#This Row],[AW 7]]*10+Tabel2[[#This Row],[BONUS 7]]</f>
        <v>0</v>
      </c>
      <c r="BE166">
        <v>1</v>
      </c>
      <c r="BI166" s="23">
        <f>SUM(Tabel2[[#This Row],[V 8]]*10+Tabel2[[#This Row],[GT 8]])/Tabel2[[#This Row],[AW 8]]*10+Tabel2[[#This Row],[BONUS 8]]</f>
        <v>0</v>
      </c>
      <c r="BK166">
        <v>1</v>
      </c>
      <c r="BO166" s="23">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6" s="22">
        <v>0</v>
      </c>
      <c r="BX166" s="22">
        <f>Tabel2[[#This Row],[Diploma]]-Tabel2[[#This Row],[Uitgeschreven]]</f>
        <v>0</v>
      </c>
      <c r="BY166" s="155" t="str">
        <f t="shared" si="23"/>
        <v>geen actie</v>
      </c>
      <c r="CA166" s="150">
        <f>Tabel2[[#This Row],[pnt t/m 2021/22]]</f>
        <v>77.333333333333343</v>
      </c>
      <c r="CB166" s="150">
        <f>Tabel2[[#This Row],[pnt 2022/2023]]</f>
        <v>18.333333333333332</v>
      </c>
      <c r="CC166" s="150">
        <f t="shared" si="22"/>
        <v>95.666666666666671</v>
      </c>
      <c r="CD166" s="150">
        <f>IF(Tabel2[[#This Row],[LPR 1]]&gt;0,1,0)</f>
        <v>0</v>
      </c>
      <c r="CE166" s="150">
        <f>IF(Tabel2[[#This Row],[LPR 2]]&gt;0,1,0)</f>
        <v>0</v>
      </c>
      <c r="CF166" s="150">
        <f>IF(Tabel2[[#This Row],[LPR 3]]&gt;0,1,0)</f>
        <v>1</v>
      </c>
      <c r="CG166" s="150">
        <f>IF(Tabel2[[#This Row],[LPR 4]]&gt;0,1,0)</f>
        <v>0</v>
      </c>
      <c r="CH166" s="150">
        <f>IF(Tabel2[[#This Row],[LPR 5]]&gt;0,1,0)</f>
        <v>0</v>
      </c>
      <c r="CI166" s="150">
        <f>IF(Tabel2[[#This Row],[LPR 6]]&gt;0,1,0)</f>
        <v>0</v>
      </c>
      <c r="CJ166" s="150">
        <f>IF(Tabel2[[#This Row],[LPR 7]]&gt;0,1,0)</f>
        <v>0</v>
      </c>
      <c r="CK166" s="150">
        <f>IF(Tabel2[[#This Row],[LPR 8]]&gt;0,1,0)</f>
        <v>0</v>
      </c>
      <c r="CL166" s="150">
        <f>IF(Tabel2[[#This Row],[LPR 9]]&gt;0,1,0)</f>
        <v>0</v>
      </c>
      <c r="CM166" s="150">
        <f>IF(Tabel2[[#This Row],[LPR 10]]&gt;0,1,0)</f>
        <v>0</v>
      </c>
      <c r="CN166" s="150">
        <f>SUM(Tabel7[[#This Row],[sep]:[jun]])</f>
        <v>1</v>
      </c>
      <c r="CO166" s="22" t="str">
        <f t="shared" si="17"/>
        <v/>
      </c>
      <c r="CP166" s="22" t="str">
        <f t="shared" si="18"/>
        <v/>
      </c>
      <c r="CQ166" s="22" t="str">
        <f t="shared" si="19"/>
        <v/>
      </c>
      <c r="CR166" s="22" t="str">
        <f t="shared" si="20"/>
        <v/>
      </c>
      <c r="CS166" s="22" t="str">
        <f t="shared" si="21"/>
        <v/>
      </c>
    </row>
    <row r="167" spans="1:97" x14ac:dyDescent="0.3">
      <c r="A167" s="22" t="s">
        <v>148</v>
      </c>
      <c r="B167" s="22" t="s">
        <v>149</v>
      </c>
      <c r="D167" s="22" t="s">
        <v>150</v>
      </c>
      <c r="E167" t="s">
        <v>351</v>
      </c>
      <c r="F167" s="22">
        <v>119779</v>
      </c>
      <c r="G167" t="s">
        <v>198</v>
      </c>
      <c r="H167" s="23">
        <f>Tabel2[[#This Row],[pnt t/m 2021/22]]+Tabel2[[#This Row],[pnt 2022/2023]]</f>
        <v>847.16125541125541</v>
      </c>
      <c r="I167">
        <v>2011</v>
      </c>
      <c r="J167">
        <v>2023</v>
      </c>
      <c r="K167" s="24">
        <f>Tabel2[[#This Row],[ijkdatum]]-Tabel2[[#This Row],[Geboren]]</f>
        <v>12</v>
      </c>
      <c r="L167" s="26">
        <f>Tabel2[[#This Row],[TTL 1]]+Tabel2[[#This Row],[TTL 2]]+Tabel2[[#This Row],[TTL 3]]+Tabel2[[#This Row],[TTL 4]]+Tabel2[[#This Row],[TTL 5]]+Tabel2[[#This Row],[TTL 6]]+Tabel2[[#This Row],[TTL 7]]+Tabel2[[#This Row],[TTL 8]]+Tabel2[[#This Row],[TTL 9]]+Tabel2[[#This Row],[TTL 10]]</f>
        <v>141.25</v>
      </c>
      <c r="M167" s="157">
        <v>705.91125541125541</v>
      </c>
      <c r="N167">
        <v>2</v>
      </c>
      <c r="O167">
        <v>6</v>
      </c>
      <c r="P167">
        <v>3</v>
      </c>
      <c r="Q167">
        <v>21</v>
      </c>
      <c r="S167" s="23">
        <f>SUM(Tabel2[[#This Row],[V 1]]*10+Tabel2[[#This Row],[GT 1]])/Tabel2[[#This Row],[AW 1]]*10+Tabel2[[#This Row],[BONUS 1]]</f>
        <v>85</v>
      </c>
      <c r="U167">
        <v>1</v>
      </c>
      <c r="Y167" s="23">
        <f>SUM(Tabel2[[#This Row],[V 2]]*10+Tabel2[[#This Row],[GT 2]])/Tabel2[[#This Row],[AW 2]]*10+Tabel2[[#This Row],[BONUS 2]]</f>
        <v>0</v>
      </c>
      <c r="Z167">
        <v>2</v>
      </c>
      <c r="AA167">
        <v>8</v>
      </c>
      <c r="AB167">
        <v>2</v>
      </c>
      <c r="AC167">
        <v>25</v>
      </c>
      <c r="AE167" s="23">
        <f>SUM(Tabel2[[#This Row],[V 3]]*10+Tabel2[[#This Row],[GT 3]])/Tabel2[[#This Row],[AW 3]]*10+Tabel2[[#This Row],[BONUS 3]]</f>
        <v>56.25</v>
      </c>
      <c r="AG167">
        <v>1</v>
      </c>
      <c r="AK167" s="23">
        <f>SUM(Tabel2[[#This Row],[V 4]]*10+Tabel2[[#This Row],[GT 4]])/Tabel2[[#This Row],[AW 4]]*10+Tabel2[[#This Row],[BONUS 4]]</f>
        <v>0</v>
      </c>
      <c r="AM167">
        <v>1</v>
      </c>
      <c r="AQ167" s="23">
        <f>SUM(Tabel2[[#This Row],[V 5]]*10+Tabel2[[#This Row],[GT 5]])/Tabel2[[#This Row],[AW 5]]*10+Tabel2[[#This Row],[BONUS 5]]</f>
        <v>0</v>
      </c>
      <c r="AS167">
        <v>1</v>
      </c>
      <c r="AW167" s="23">
        <f>SUM(Tabel2[[#This Row],[V 6]]*10+Tabel2[[#This Row],[GT 6]])/Tabel2[[#This Row],[AW 6]]*10+Tabel2[[#This Row],[BONUS 6]]</f>
        <v>0</v>
      </c>
      <c r="AY167">
        <v>1</v>
      </c>
      <c r="BC167" s="23">
        <f>SUM(Tabel2[[#This Row],[V 7]]*10+Tabel2[[#This Row],[GT 7]])/Tabel2[[#This Row],[AW 7]]*10+Tabel2[[#This Row],[BONUS 7]]</f>
        <v>0</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7" s="22">
        <v>750</v>
      </c>
      <c r="BX167" s="22">
        <f>Tabel2[[#This Row],[Diploma]]-Tabel2[[#This Row],[Uitgeschreven]]</f>
        <v>0</v>
      </c>
      <c r="BY167" s="155" t="str">
        <f t="shared" si="23"/>
        <v>geen actie</v>
      </c>
      <c r="CA167" s="150">
        <f>Tabel2[[#This Row],[pnt t/m 2021/22]]</f>
        <v>705.91125541125541</v>
      </c>
      <c r="CB167" s="150">
        <f>Tabel2[[#This Row],[pnt 2022/2023]]</f>
        <v>141.25</v>
      </c>
      <c r="CC167" s="150">
        <f t="shared" si="22"/>
        <v>847.16125541125541</v>
      </c>
      <c r="CD167" s="150">
        <f>IF(Tabel2[[#This Row],[LPR 1]]&gt;0,1,0)</f>
        <v>1</v>
      </c>
      <c r="CE167" s="150">
        <f>IF(Tabel2[[#This Row],[LPR 2]]&gt;0,1,0)</f>
        <v>0</v>
      </c>
      <c r="CF167" s="150">
        <f>IF(Tabel2[[#This Row],[LPR 3]]&gt;0,1,0)</f>
        <v>1</v>
      </c>
      <c r="CG167" s="150">
        <f>IF(Tabel2[[#This Row],[LPR 4]]&gt;0,1,0)</f>
        <v>0</v>
      </c>
      <c r="CH167" s="150">
        <f>IF(Tabel2[[#This Row],[LPR 5]]&gt;0,1,0)</f>
        <v>0</v>
      </c>
      <c r="CI167" s="150">
        <f>IF(Tabel2[[#This Row],[LPR 6]]&gt;0,1,0)</f>
        <v>0</v>
      </c>
      <c r="CJ167" s="150">
        <f>IF(Tabel2[[#This Row],[LPR 7]]&gt;0,1,0)</f>
        <v>0</v>
      </c>
      <c r="CK167" s="150">
        <f>IF(Tabel2[[#This Row],[LPR 8]]&gt;0,1,0)</f>
        <v>0</v>
      </c>
      <c r="CL167" s="150">
        <f>IF(Tabel2[[#This Row],[LPR 9]]&gt;0,1,0)</f>
        <v>0</v>
      </c>
      <c r="CM167" s="150">
        <f>IF(Tabel2[[#This Row],[LPR 10]]&gt;0,1,0)</f>
        <v>0</v>
      </c>
      <c r="CN167" s="150">
        <f>SUM(Tabel7[[#This Row],[sep]:[jun]])</f>
        <v>2</v>
      </c>
      <c r="CO167" s="22" t="str">
        <f t="shared" si="17"/>
        <v/>
      </c>
      <c r="CP167" s="22" t="str">
        <f t="shared" si="18"/>
        <v/>
      </c>
      <c r="CQ167" s="22" t="str">
        <f t="shared" si="19"/>
        <v/>
      </c>
      <c r="CR167" s="22" t="str">
        <f t="shared" si="20"/>
        <v/>
      </c>
      <c r="CS167" s="22" t="str">
        <f t="shared" si="21"/>
        <v/>
      </c>
    </row>
    <row r="168" spans="1:97" x14ac:dyDescent="0.3">
      <c r="A168" s="22" t="s">
        <v>156</v>
      </c>
      <c r="B168" s="22" t="s">
        <v>149</v>
      </c>
      <c r="D168" s="22" t="s">
        <v>160</v>
      </c>
      <c r="E168" t="s">
        <v>352</v>
      </c>
      <c r="F168" s="22">
        <v>120457</v>
      </c>
      <c r="G168" t="s">
        <v>171</v>
      </c>
      <c r="H168" s="23">
        <f>Tabel2[[#This Row],[pnt t/m 2021/22]]+Tabel2[[#This Row],[pnt 2022/2023]]</f>
        <v>40</v>
      </c>
      <c r="I168">
        <v>2011</v>
      </c>
      <c r="J168">
        <v>2023</v>
      </c>
      <c r="K168" s="24">
        <f>Tabel2[[#This Row],[ijkdatum]]-Tabel2[[#This Row],[Geboren]]</f>
        <v>12</v>
      </c>
      <c r="L168" s="26">
        <f>Tabel2[[#This Row],[TTL 1]]+Tabel2[[#This Row],[TTL 2]]+Tabel2[[#This Row],[TTL 3]]+Tabel2[[#This Row],[TTL 4]]+Tabel2[[#This Row],[TTL 5]]+Tabel2[[#This Row],[TTL 6]]+Tabel2[[#This Row],[TTL 7]]+Tabel2[[#This Row],[TTL 8]]+Tabel2[[#This Row],[TTL 9]]+Tabel2[[#This Row],[TTL 10]]</f>
        <v>40</v>
      </c>
      <c r="M168" s="153"/>
      <c r="O168">
        <v>1</v>
      </c>
      <c r="S168" s="153">
        <f>SUM(Tabel2[[#This Row],[V 1]]*10+Tabel2[[#This Row],[GT 1]])/Tabel2[[#This Row],[AW 1]]*10+Tabel2[[#This Row],[BONUS 1]]</f>
        <v>0</v>
      </c>
      <c r="U168">
        <v>1</v>
      </c>
      <c r="Y168" s="23">
        <f>SUM(Tabel2[[#This Row],[V 2]]*10+Tabel2[[#This Row],[GT 2]])/Tabel2[[#This Row],[AW 2]]*10+Tabel2[[#This Row],[BONUS 2]]</f>
        <v>0</v>
      </c>
      <c r="Z168">
        <v>6</v>
      </c>
      <c r="AA168">
        <v>6</v>
      </c>
      <c r="AB168">
        <v>1</v>
      </c>
      <c r="AC168">
        <v>14</v>
      </c>
      <c r="AE168" s="23">
        <f>SUM(Tabel2[[#This Row],[V 3]]*10+Tabel2[[#This Row],[GT 3]])/Tabel2[[#This Row],[AW 3]]*10+Tabel2[[#This Row],[BONUS 3]]</f>
        <v>40</v>
      </c>
      <c r="AG168">
        <v>1</v>
      </c>
      <c r="AK168" s="23">
        <f>SUM(Tabel2[[#This Row],[V 4]]*10+Tabel2[[#This Row],[GT 4]])/Tabel2[[#This Row],[AW 4]]*10+Tabel2[[#This Row],[BONUS 4]]</f>
        <v>0</v>
      </c>
      <c r="AM168">
        <v>1</v>
      </c>
      <c r="AQ168" s="23">
        <f>SUM(Tabel2[[#This Row],[V 5]]*10+Tabel2[[#This Row],[GT 5]])/Tabel2[[#This Row],[AW 5]]*10+Tabel2[[#This Row],[BONUS 5]]</f>
        <v>0</v>
      </c>
      <c r="AS168">
        <v>1</v>
      </c>
      <c r="AW168" s="23">
        <f>SUM(Tabel2[[#This Row],[V 6]]*10+Tabel2[[#This Row],[GT 6]])/Tabel2[[#This Row],[AW 6]]*10+Tabel2[[#This Row],[BONUS 6]]</f>
        <v>0</v>
      </c>
      <c r="AY168">
        <v>1</v>
      </c>
      <c r="BC168" s="23">
        <f>SUM(Tabel2[[#This Row],[V 7]]*10+Tabel2[[#This Row],[GT 7]])/Tabel2[[#This Row],[AW 7]]*10+Tabel2[[#This Row],[BONUS 7]]</f>
        <v>0</v>
      </c>
      <c r="BE168">
        <v>1</v>
      </c>
      <c r="BI168" s="23">
        <f>SUM(Tabel2[[#This Row],[V 8]]*10+Tabel2[[#This Row],[GT 8]])/Tabel2[[#This Row],[AW 8]]*10+Tabel2[[#This Row],[BONUS 8]]</f>
        <v>0</v>
      </c>
      <c r="BK168">
        <v>1</v>
      </c>
      <c r="BO168" s="23">
        <f>SUM(Tabel2[[#This Row],[V 9]]*10+Tabel2[[#This Row],[GT 9]])/Tabel2[[#This Row],[AW 9]]*10+Tabel2[[#This Row],[BONUS 9]]</f>
        <v>0</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8" s="22">
        <v>0</v>
      </c>
      <c r="BX168" s="22">
        <f>Tabel2[[#This Row],[Diploma]]-Tabel2[[#This Row],[Uitgeschreven]]</f>
        <v>0</v>
      </c>
      <c r="BY168" s="155" t="str">
        <f t="shared" si="23"/>
        <v>geen actie</v>
      </c>
      <c r="CA168" s="150">
        <f>Tabel2[[#This Row],[pnt t/m 2021/22]]</f>
        <v>0</v>
      </c>
      <c r="CB168" s="150">
        <f>Tabel2[[#This Row],[pnt 2022/2023]]</f>
        <v>40</v>
      </c>
      <c r="CC168" s="150">
        <f t="shared" si="22"/>
        <v>40</v>
      </c>
      <c r="CD168" s="150">
        <f>IF(Tabel2[[#This Row],[LPR 1]]&gt;0,1,0)</f>
        <v>0</v>
      </c>
      <c r="CE168" s="150">
        <f>IF(Tabel2[[#This Row],[LPR 2]]&gt;0,1,0)</f>
        <v>0</v>
      </c>
      <c r="CF168" s="150">
        <f>IF(Tabel2[[#This Row],[LPR 3]]&gt;0,1,0)</f>
        <v>1</v>
      </c>
      <c r="CG168" s="150">
        <f>IF(Tabel2[[#This Row],[LPR 4]]&gt;0,1,0)</f>
        <v>0</v>
      </c>
      <c r="CH168" s="150">
        <f>IF(Tabel2[[#This Row],[LPR 5]]&gt;0,1,0)</f>
        <v>0</v>
      </c>
      <c r="CI168" s="150">
        <f>IF(Tabel2[[#This Row],[LPR 6]]&gt;0,1,0)</f>
        <v>0</v>
      </c>
      <c r="CJ168" s="150">
        <f>IF(Tabel2[[#This Row],[LPR 7]]&gt;0,1,0)</f>
        <v>0</v>
      </c>
      <c r="CK168" s="150">
        <f>IF(Tabel2[[#This Row],[LPR 8]]&gt;0,1,0)</f>
        <v>0</v>
      </c>
      <c r="CL168" s="150">
        <f>IF(Tabel2[[#This Row],[LPR 9]]&gt;0,1,0)</f>
        <v>0</v>
      </c>
      <c r="CM168" s="150">
        <f>IF(Tabel2[[#This Row],[LPR 10]]&gt;0,1,0)</f>
        <v>0</v>
      </c>
      <c r="CN168" s="150">
        <f>SUM(Tabel7[[#This Row],[sep]:[jun]])</f>
        <v>1</v>
      </c>
      <c r="CO168" s="22" t="str">
        <f t="shared" si="17"/>
        <v/>
      </c>
      <c r="CP168" s="22" t="str">
        <f t="shared" si="18"/>
        <v/>
      </c>
      <c r="CQ168" s="22" t="str">
        <f t="shared" si="19"/>
        <v/>
      </c>
      <c r="CR168" s="22" t="str">
        <f t="shared" si="20"/>
        <v/>
      </c>
      <c r="CS168" s="22" t="str">
        <f t="shared" si="21"/>
        <v/>
      </c>
    </row>
    <row r="169" spans="1:97" x14ac:dyDescent="0.3">
      <c r="A169" s="22" t="s">
        <v>148</v>
      </c>
      <c r="B169" s="22" t="s">
        <v>149</v>
      </c>
      <c r="D169" s="22" t="s">
        <v>150</v>
      </c>
      <c r="E169" t="s">
        <v>353</v>
      </c>
      <c r="F169" s="22">
        <v>117744</v>
      </c>
      <c r="G169" t="s">
        <v>169</v>
      </c>
      <c r="H169" s="23">
        <f>Tabel2[[#This Row],[pnt t/m 2021/22]]+Tabel2[[#This Row],[pnt 2022/2023]]</f>
        <v>710.85714285714289</v>
      </c>
      <c r="I169">
        <v>2009</v>
      </c>
      <c r="J169">
        <v>2023</v>
      </c>
      <c r="K169" s="24">
        <f>Tabel2[[#This Row],[ijkdatum]]-Tabel2[[#This Row],[Geboren]]</f>
        <v>14</v>
      </c>
      <c r="L169" s="26">
        <f>Tabel2[[#This Row],[TTL 1]]+Tabel2[[#This Row],[TTL 2]]+Tabel2[[#This Row],[TTL 3]]+Tabel2[[#This Row],[TTL 4]]+Tabel2[[#This Row],[TTL 5]]+Tabel2[[#This Row],[TTL 6]]+Tabel2[[#This Row],[TTL 7]]+Tabel2[[#This Row],[TTL 8]]+Tabel2[[#This Row],[TTL 9]]+Tabel2[[#This Row],[TTL 10]]</f>
        <v>13.333333333333332</v>
      </c>
      <c r="M169" s="153">
        <v>697.52380952380952</v>
      </c>
      <c r="N169">
        <v>2</v>
      </c>
      <c r="O169">
        <v>6</v>
      </c>
      <c r="P169">
        <v>0</v>
      </c>
      <c r="Q169">
        <v>8</v>
      </c>
      <c r="S169" s="23">
        <f>SUM(Tabel2[[#This Row],[V 1]]*10+Tabel2[[#This Row],[GT 1]])/Tabel2[[#This Row],[AW 1]]*10+Tabel2[[#This Row],[BONUS 1]]</f>
        <v>13.333333333333332</v>
      </c>
      <c r="U169">
        <v>1</v>
      </c>
      <c r="Y169" s="23">
        <f>SUM(Tabel2[[#This Row],[V 2]]*10+Tabel2[[#This Row],[GT 2]])/Tabel2[[#This Row],[AW 2]]*10+Tabel2[[#This Row],[BONUS 2]]</f>
        <v>0</v>
      </c>
      <c r="AA169">
        <v>1</v>
      </c>
      <c r="AE169" s="23">
        <f>SUM(Tabel2[[#This Row],[V 3]]*10+Tabel2[[#This Row],[GT 3]])/Tabel2[[#This Row],[AW 3]]*10+Tabel2[[#This Row],[BONUS 3]]</f>
        <v>0</v>
      </c>
      <c r="AG169">
        <v>1</v>
      </c>
      <c r="AK169" s="23">
        <f>SUM(Tabel2[[#This Row],[V 4]]*10+Tabel2[[#This Row],[GT 4]])/Tabel2[[#This Row],[AW 4]]*10+Tabel2[[#This Row],[BONUS 4]]</f>
        <v>0</v>
      </c>
      <c r="AM169">
        <v>1</v>
      </c>
      <c r="AQ169" s="23">
        <f>SUM(Tabel2[[#This Row],[V 5]]*10+Tabel2[[#This Row],[GT 5]])/Tabel2[[#This Row],[AW 5]]*10+Tabel2[[#This Row],[BONUS 5]]</f>
        <v>0</v>
      </c>
      <c r="AS169">
        <v>1</v>
      </c>
      <c r="AW169" s="23">
        <f>SUM(Tabel2[[#This Row],[V 6]]*10+Tabel2[[#This Row],[GT 6]])/Tabel2[[#This Row],[AW 6]]*10+Tabel2[[#This Row],[BONUS 6]]</f>
        <v>0</v>
      </c>
      <c r="AY169">
        <v>1</v>
      </c>
      <c r="BC169" s="23">
        <f>SUM(Tabel2[[#This Row],[V 7]]*10+Tabel2[[#This Row],[GT 7]])/Tabel2[[#This Row],[AW 7]]*10+Tabel2[[#This Row],[BONUS 7]]</f>
        <v>0</v>
      </c>
      <c r="BE169">
        <v>1</v>
      </c>
      <c r="BI169" s="23">
        <f>SUM(Tabel2[[#This Row],[V 8]]*10+Tabel2[[#This Row],[GT 8]])/Tabel2[[#This Row],[AW 8]]*10+Tabel2[[#This Row],[BONUS 8]]</f>
        <v>0</v>
      </c>
      <c r="BK169">
        <v>1</v>
      </c>
      <c r="BO169" s="23">
        <f>SUM(Tabel2[[#This Row],[V 9]]*10+Tabel2[[#This Row],[GT 9]])/Tabel2[[#This Row],[AW 9]]*10+Tabel2[[#This Row],[BONUS 9]]</f>
        <v>0</v>
      </c>
      <c r="BQ169">
        <v>1</v>
      </c>
      <c r="BU169" s="23">
        <f>SUM(Tabel2[[#This Row],[V 10]]*10+Tabel2[[#This Row],[GT 10]])/Tabel2[[#This Row],[AW 10]]*10+Tabel2[[#This Row],[BONUS 10]]</f>
        <v>0</v>
      </c>
      <c r="BV16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69" s="22">
        <v>500</v>
      </c>
      <c r="BX169" s="22">
        <f>Tabel2[[#This Row],[Diploma]]-Tabel2[[#This Row],[Uitgeschreven]]</f>
        <v>0</v>
      </c>
      <c r="BY169" s="155" t="str">
        <f t="shared" si="23"/>
        <v>geen actie</v>
      </c>
      <c r="CA169" s="150">
        <f>Tabel2[[#This Row],[pnt t/m 2021/22]]</f>
        <v>697.52380952380952</v>
      </c>
      <c r="CB169" s="150">
        <f>Tabel2[[#This Row],[pnt 2022/2023]]</f>
        <v>13.333333333333332</v>
      </c>
      <c r="CC169" s="150">
        <f t="shared" si="22"/>
        <v>710.85714285714289</v>
      </c>
      <c r="CD169" s="150">
        <f>IF(Tabel2[[#This Row],[LPR 1]]&gt;0,1,0)</f>
        <v>1</v>
      </c>
      <c r="CE169" s="150">
        <f>IF(Tabel2[[#This Row],[LPR 2]]&gt;0,1,0)</f>
        <v>0</v>
      </c>
      <c r="CF169" s="150">
        <f>IF(Tabel2[[#This Row],[LPR 3]]&gt;0,1,0)</f>
        <v>0</v>
      </c>
      <c r="CG169" s="150">
        <f>IF(Tabel2[[#This Row],[LPR 4]]&gt;0,1,0)</f>
        <v>0</v>
      </c>
      <c r="CH169" s="150">
        <f>IF(Tabel2[[#This Row],[LPR 5]]&gt;0,1,0)</f>
        <v>0</v>
      </c>
      <c r="CI169" s="150">
        <f>IF(Tabel2[[#This Row],[LPR 6]]&gt;0,1,0)</f>
        <v>0</v>
      </c>
      <c r="CJ169" s="150">
        <f>IF(Tabel2[[#This Row],[LPR 7]]&gt;0,1,0)</f>
        <v>0</v>
      </c>
      <c r="CK169" s="150">
        <f>IF(Tabel2[[#This Row],[LPR 8]]&gt;0,1,0)</f>
        <v>0</v>
      </c>
      <c r="CL169" s="150">
        <f>IF(Tabel2[[#This Row],[LPR 9]]&gt;0,1,0)</f>
        <v>0</v>
      </c>
      <c r="CM169" s="150">
        <f>IF(Tabel2[[#This Row],[LPR 10]]&gt;0,1,0)</f>
        <v>0</v>
      </c>
      <c r="CN169" s="150">
        <f>SUM(Tabel7[[#This Row],[sep]:[jun]])</f>
        <v>1</v>
      </c>
      <c r="CO169" s="22" t="str">
        <f t="shared" si="17"/>
        <v/>
      </c>
      <c r="CP169" s="22" t="str">
        <f t="shared" si="18"/>
        <v/>
      </c>
      <c r="CQ169" s="22" t="str">
        <f t="shared" si="19"/>
        <v/>
      </c>
      <c r="CR169" s="22" t="str">
        <f t="shared" si="20"/>
        <v/>
      </c>
      <c r="CS169" s="22" t="str">
        <f t="shared" si="21"/>
        <v/>
      </c>
    </row>
    <row r="170" spans="1:97" x14ac:dyDescent="0.3">
      <c r="A170" s="22" t="s">
        <v>159</v>
      </c>
      <c r="B170" s="22" t="s">
        <v>149</v>
      </c>
      <c r="D170" s="22" t="s">
        <v>150</v>
      </c>
      <c r="E170" t="s">
        <v>354</v>
      </c>
      <c r="F170" s="22">
        <v>120871</v>
      </c>
      <c r="G170" t="s">
        <v>206</v>
      </c>
      <c r="H170" s="142">
        <f>Tabel2[[#This Row],[pnt t/m 2021/22]]+Tabel2[[#This Row],[pnt 2022/2023]]</f>
        <v>1194.4986949325184</v>
      </c>
      <c r="I170">
        <v>2009</v>
      </c>
      <c r="J170">
        <v>2023</v>
      </c>
      <c r="K170" s="24">
        <f>Tabel2[[#This Row],[ijkdatum]]-Tabel2[[#This Row],[Geboren]]</f>
        <v>14</v>
      </c>
      <c r="L170" s="26">
        <f>Tabel2[[#This Row],[TTL 1]]+Tabel2[[#This Row],[TTL 2]]+Tabel2[[#This Row],[TTL 3]]+Tabel2[[#This Row],[TTL 4]]+Tabel2[[#This Row],[TTL 5]]+Tabel2[[#This Row],[TTL 6]]+Tabel2[[#This Row],[TTL 7]]+Tabel2[[#This Row],[TTL 8]]+Tabel2[[#This Row],[TTL 9]]+Tabel2[[#This Row],[TTL 10]]</f>
        <v>235.88235294117646</v>
      </c>
      <c r="M170" s="151">
        <v>958.61634199134198</v>
      </c>
      <c r="N170">
        <v>10</v>
      </c>
      <c r="O170">
        <v>17</v>
      </c>
      <c r="P170">
        <v>15</v>
      </c>
      <c r="Q170">
        <v>81</v>
      </c>
      <c r="S170" s="23">
        <f>SUM(Tabel2[[#This Row],[V 1]]*10+Tabel2[[#This Row],[GT 1]])/Tabel2[[#This Row],[AW 1]]*10+Tabel2[[#This Row],[BONUS 1]]</f>
        <v>135.88235294117646</v>
      </c>
      <c r="U170">
        <v>1</v>
      </c>
      <c r="Y170" s="23">
        <f>SUM(Tabel2[[#This Row],[V 2]]*10+Tabel2[[#This Row],[GT 2]])/Tabel2[[#This Row],[AW 2]]*10+Tabel2[[#This Row],[BONUS 2]]</f>
        <v>0</v>
      </c>
      <c r="Z170">
        <v>9</v>
      </c>
      <c r="AA170">
        <v>17</v>
      </c>
      <c r="AB170">
        <v>10</v>
      </c>
      <c r="AC170">
        <v>70</v>
      </c>
      <c r="AE170" s="23">
        <f>SUM(Tabel2[[#This Row],[V 3]]*10+Tabel2[[#This Row],[GT 3]])/Tabel2[[#This Row],[AW 3]]*10+Tabel2[[#This Row],[BONUS 3]]</f>
        <v>100</v>
      </c>
      <c r="AG170">
        <v>1</v>
      </c>
      <c r="AK170" s="23">
        <f>SUM(Tabel2[[#This Row],[V 4]]*10+Tabel2[[#This Row],[GT 4]])/Tabel2[[#This Row],[AW 4]]*10+Tabel2[[#This Row],[BONUS 4]]</f>
        <v>0</v>
      </c>
      <c r="AM170">
        <v>1</v>
      </c>
      <c r="AQ170" s="23">
        <f>SUM(Tabel2[[#This Row],[V 5]]*10+Tabel2[[#This Row],[GT 5]])/Tabel2[[#This Row],[AW 5]]*10+Tabel2[[#This Row],[BONUS 5]]</f>
        <v>0</v>
      </c>
      <c r="AS170">
        <v>1</v>
      </c>
      <c r="AW170" s="23">
        <f>SUM(Tabel2[[#This Row],[V 6]]*10+Tabel2[[#This Row],[GT 6]])/Tabel2[[#This Row],[AW 6]]*10+Tabel2[[#This Row],[BONUS 6]]</f>
        <v>0</v>
      </c>
      <c r="AY170">
        <v>1</v>
      </c>
      <c r="BC170" s="23">
        <f>SUM(Tabel2[[#This Row],[V 7]]*10+Tabel2[[#This Row],[GT 7]])/Tabel2[[#This Row],[AW 7]]*10+Tabel2[[#This Row],[BONUS 7]]</f>
        <v>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0" s="22">
        <v>1000</v>
      </c>
      <c r="BX170" s="30">
        <f>Tabel2[[#This Row],[Diploma]]-Tabel2[[#This Row],[Uitgeschreven]]</f>
        <v>0</v>
      </c>
      <c r="BY170" s="2" t="str">
        <f t="shared" si="23"/>
        <v>geen actie</v>
      </c>
      <c r="CA170" s="150">
        <f>Tabel2[[#This Row],[pnt t/m 2021/22]]</f>
        <v>958.61634199134198</v>
      </c>
      <c r="CB170" s="150">
        <f>Tabel2[[#This Row],[pnt 2022/2023]]</f>
        <v>235.88235294117646</v>
      </c>
      <c r="CC170" s="150">
        <f t="shared" si="22"/>
        <v>1194.4986949325184</v>
      </c>
      <c r="CD170" s="150">
        <f>IF(Tabel2[[#This Row],[LPR 1]]&gt;0,1,0)</f>
        <v>1</v>
      </c>
      <c r="CE170" s="150">
        <f>IF(Tabel2[[#This Row],[LPR 2]]&gt;0,1,0)</f>
        <v>0</v>
      </c>
      <c r="CF170" s="150">
        <f>IF(Tabel2[[#This Row],[LPR 3]]&gt;0,1,0)</f>
        <v>1</v>
      </c>
      <c r="CG170" s="150">
        <f>IF(Tabel2[[#This Row],[LPR 4]]&gt;0,1,0)</f>
        <v>0</v>
      </c>
      <c r="CH170" s="150">
        <f>IF(Tabel2[[#This Row],[LPR 5]]&gt;0,1,0)</f>
        <v>0</v>
      </c>
      <c r="CI170" s="150">
        <f>IF(Tabel2[[#This Row],[LPR 6]]&gt;0,1,0)</f>
        <v>0</v>
      </c>
      <c r="CJ170" s="150">
        <f>IF(Tabel2[[#This Row],[LPR 7]]&gt;0,1,0)</f>
        <v>0</v>
      </c>
      <c r="CK170" s="150">
        <f>IF(Tabel2[[#This Row],[LPR 8]]&gt;0,1,0)</f>
        <v>0</v>
      </c>
      <c r="CL170" s="150">
        <f>IF(Tabel2[[#This Row],[LPR 9]]&gt;0,1,0)</f>
        <v>0</v>
      </c>
      <c r="CM170" s="150">
        <f>IF(Tabel2[[#This Row],[LPR 10]]&gt;0,1,0)</f>
        <v>0</v>
      </c>
      <c r="CN170" s="150">
        <f>SUM(Tabel7[[#This Row],[sep]:[jun]])</f>
        <v>2</v>
      </c>
      <c r="CO170" s="22" t="str">
        <f t="shared" si="17"/>
        <v>x</v>
      </c>
      <c r="CP170" s="22" t="str">
        <f t="shared" si="18"/>
        <v/>
      </c>
      <c r="CQ170" s="22" t="str">
        <f t="shared" si="19"/>
        <v/>
      </c>
      <c r="CR170" s="22" t="str">
        <f t="shared" si="20"/>
        <v/>
      </c>
      <c r="CS170" s="22" t="str">
        <f t="shared" si="21"/>
        <v/>
      </c>
    </row>
    <row r="171" spans="1:97" x14ac:dyDescent="0.3">
      <c r="A171" s="22" t="s">
        <v>156</v>
      </c>
      <c r="B171" s="22" t="s">
        <v>157</v>
      </c>
      <c r="D171" s="22" t="s">
        <v>150</v>
      </c>
      <c r="E171" t="s">
        <v>355</v>
      </c>
      <c r="F171" s="22">
        <v>117628</v>
      </c>
      <c r="G171" t="s">
        <v>162</v>
      </c>
      <c r="H171" s="154">
        <f>Tabel2[[#This Row],[pnt t/m 2021/22]]+Tabel2[[#This Row],[pnt 2022/2023]]</f>
        <v>1453.5468975468975</v>
      </c>
      <c r="I171">
        <v>2010</v>
      </c>
      <c r="J171">
        <v>2023</v>
      </c>
      <c r="K171" s="24">
        <f>Tabel2[[#This Row],[ijkdatum]]-Tabel2[[#This Row],[Geboren]]</f>
        <v>13</v>
      </c>
      <c r="L171" s="26">
        <f>Tabel2[[#This Row],[TTL 1]]+Tabel2[[#This Row],[TTL 2]]+Tabel2[[#This Row],[TTL 3]]+Tabel2[[#This Row],[TTL 4]]+Tabel2[[#This Row],[TTL 5]]+Tabel2[[#This Row],[TTL 6]]+Tabel2[[#This Row],[TTL 7]]+Tabel2[[#This Row],[TTL 8]]+Tabel2[[#This Row],[TTL 9]]+Tabel2[[#This Row],[TTL 10]]</f>
        <v>48.181818181818187</v>
      </c>
      <c r="M171" s="157">
        <v>1405.3650793650793</v>
      </c>
      <c r="N171" s="31"/>
      <c r="O171">
        <v>1</v>
      </c>
      <c r="S171" s="27">
        <f>SUM(Tabel2[[#This Row],[V 1]]*10+Tabel2[[#This Row],[GT 1]])/Tabel2[[#This Row],[AW 1]]*10+Tabel2[[#This Row],[BONUS 1]]</f>
        <v>0</v>
      </c>
      <c r="T171">
        <v>5</v>
      </c>
      <c r="U171">
        <v>11</v>
      </c>
      <c r="V171">
        <v>2</v>
      </c>
      <c r="W171">
        <v>33</v>
      </c>
      <c r="Y171" s="23">
        <f>SUM(Tabel2[[#This Row],[V 2]]*10+Tabel2[[#This Row],[GT 2]])/Tabel2[[#This Row],[AW 2]]*10+Tabel2[[#This Row],[BONUS 2]]</f>
        <v>48.181818181818187</v>
      </c>
      <c r="AA171">
        <v>1</v>
      </c>
      <c r="AE171" s="23">
        <f>SUM(Tabel2[[#This Row],[V 3]]*10+Tabel2[[#This Row],[GT 3]])/Tabel2[[#This Row],[AW 3]]*10+Tabel2[[#This Row],[BONUS 3]]</f>
        <v>0</v>
      </c>
      <c r="AG171">
        <v>1</v>
      </c>
      <c r="AK171" s="23">
        <f>SUM(Tabel2[[#This Row],[V 4]]*10+Tabel2[[#This Row],[GT 4]])/Tabel2[[#This Row],[AW 4]]*10+Tabel2[[#This Row],[BONUS 4]]</f>
        <v>0</v>
      </c>
      <c r="AM171">
        <v>1</v>
      </c>
      <c r="AQ171" s="23">
        <f>SUM(Tabel2[[#This Row],[V 5]]*10+Tabel2[[#This Row],[GT 5]])/Tabel2[[#This Row],[AW 5]]*10+Tabel2[[#This Row],[BONUS 5]]</f>
        <v>0</v>
      </c>
      <c r="AS171">
        <v>1</v>
      </c>
      <c r="AW171" s="23">
        <f>SUM(Tabel2[[#This Row],[V 6]]*10+Tabel2[[#This Row],[GT 6]])/Tabel2[[#This Row],[AW 6]]*10+Tabel2[[#This Row],[BONUS 6]]</f>
        <v>0</v>
      </c>
      <c r="AY171">
        <v>1</v>
      </c>
      <c r="BC171" s="23">
        <f>SUM(Tabel2[[#This Row],[V 7]]*10+Tabel2[[#This Row],[GT 7]])/Tabel2[[#This Row],[AW 7]]*10+Tabel2[[#This Row],[BONUS 7]]</f>
        <v>0</v>
      </c>
      <c r="BE171">
        <v>1</v>
      </c>
      <c r="BI171" s="23">
        <f>SUM(Tabel2[[#This Row],[V 8]]*10+Tabel2[[#This Row],[GT 8]])/Tabel2[[#This Row],[AW 8]]*10+Tabel2[[#This Row],[BONUS 8]]</f>
        <v>0</v>
      </c>
      <c r="BK171">
        <v>1</v>
      </c>
      <c r="BO171" s="23">
        <f>SUM(Tabel2[[#This Row],[V 9]]*10+Tabel2[[#This Row],[GT 9]])/Tabel2[[#This Row],[AW 9]]*10+Tabel2[[#This Row],[BONUS 9]]</f>
        <v>0</v>
      </c>
      <c r="BQ171">
        <v>1</v>
      </c>
      <c r="BU171" s="23">
        <f>SUM(Tabel2[[#This Row],[V 10]]*10+Tabel2[[#This Row],[GT 10]])/Tabel2[[#This Row],[AW 10]]*10+Tabel2[[#This Row],[BONUS 10]]</f>
        <v>0</v>
      </c>
      <c r="BV1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1" s="22">
        <v>1000</v>
      </c>
      <c r="BX171" s="30">
        <f>Tabel2[[#This Row],[Diploma]]-Tabel2[[#This Row],[Uitgeschreven]]</f>
        <v>0</v>
      </c>
      <c r="BY171" s="2" t="str">
        <f t="shared" si="23"/>
        <v>geen actie</v>
      </c>
      <c r="CA171" s="150">
        <f>Tabel2[[#This Row],[pnt t/m 2021/22]]</f>
        <v>1405.3650793650793</v>
      </c>
      <c r="CB171" s="150">
        <f>Tabel2[[#This Row],[pnt 2022/2023]]</f>
        <v>48.181818181818187</v>
      </c>
      <c r="CC171" s="150">
        <f t="shared" si="22"/>
        <v>1453.5468975468975</v>
      </c>
      <c r="CD171" s="150">
        <f>IF(Tabel2[[#This Row],[LPR 1]]&gt;0,1,0)</f>
        <v>0</v>
      </c>
      <c r="CE171" s="150">
        <f>IF(Tabel2[[#This Row],[LPR 2]]&gt;0,1,0)</f>
        <v>1</v>
      </c>
      <c r="CF171" s="150">
        <f>IF(Tabel2[[#This Row],[LPR 3]]&gt;0,1,0)</f>
        <v>0</v>
      </c>
      <c r="CG171" s="150">
        <f>IF(Tabel2[[#This Row],[LPR 4]]&gt;0,1,0)</f>
        <v>0</v>
      </c>
      <c r="CH171" s="150">
        <f>IF(Tabel2[[#This Row],[LPR 5]]&gt;0,1,0)</f>
        <v>0</v>
      </c>
      <c r="CI171" s="150">
        <f>IF(Tabel2[[#This Row],[LPR 6]]&gt;0,1,0)</f>
        <v>0</v>
      </c>
      <c r="CJ171" s="150">
        <f>IF(Tabel2[[#This Row],[LPR 7]]&gt;0,1,0)</f>
        <v>0</v>
      </c>
      <c r="CK171" s="150">
        <f>IF(Tabel2[[#This Row],[LPR 8]]&gt;0,1,0)</f>
        <v>0</v>
      </c>
      <c r="CL171" s="150">
        <f>IF(Tabel2[[#This Row],[LPR 9]]&gt;0,1,0)</f>
        <v>0</v>
      </c>
      <c r="CM171" s="150">
        <f>IF(Tabel2[[#This Row],[LPR 10]]&gt;0,1,0)</f>
        <v>0</v>
      </c>
      <c r="CN171" s="150">
        <f>SUM(Tabel7[[#This Row],[sep]:[jun]])</f>
        <v>1</v>
      </c>
      <c r="CO171" s="22" t="str">
        <f t="shared" si="17"/>
        <v/>
      </c>
      <c r="CP171" s="22" t="str">
        <f t="shared" si="18"/>
        <v/>
      </c>
      <c r="CQ171" s="22" t="str">
        <f t="shared" si="19"/>
        <v/>
      </c>
      <c r="CR171" s="22" t="str">
        <f t="shared" si="20"/>
        <v/>
      </c>
      <c r="CS171" s="22" t="str">
        <f t="shared" si="21"/>
        <v/>
      </c>
    </row>
    <row r="172" spans="1:97" x14ac:dyDescent="0.3">
      <c r="A172" s="22" t="s">
        <v>156</v>
      </c>
      <c r="B172" s="22" t="s">
        <v>157</v>
      </c>
      <c r="D172" s="22" t="s">
        <v>163</v>
      </c>
      <c r="E172" t="s">
        <v>356</v>
      </c>
      <c r="F172" s="22">
        <v>119414</v>
      </c>
      <c r="G172" s="25" t="s">
        <v>162</v>
      </c>
      <c r="H172" s="154">
        <f>Tabel2[[#This Row],[pnt t/m 2021/22]]+Tabel2[[#This Row],[pnt 2022/2023]]</f>
        <v>159.375</v>
      </c>
      <c r="I172">
        <v>2010</v>
      </c>
      <c r="J172">
        <v>2023</v>
      </c>
      <c r="K172" s="24">
        <f>Tabel2[[#This Row],[ijkdatum]]-Tabel2[[#This Row],[Geboren]]</f>
        <v>13</v>
      </c>
      <c r="L172" s="26">
        <f>Tabel2[[#This Row],[TTL 1]]+Tabel2[[#This Row],[TTL 2]]+Tabel2[[#This Row],[TTL 3]]+Tabel2[[#This Row],[TTL 4]]+Tabel2[[#This Row],[TTL 5]]+Tabel2[[#This Row],[TTL 6]]+Tabel2[[#This Row],[TTL 7]]+Tabel2[[#This Row],[TTL 8]]+Tabel2[[#This Row],[TTL 9]]+Tabel2[[#This Row],[TTL 10]]</f>
        <v>0</v>
      </c>
      <c r="M172" s="151">
        <v>159.375</v>
      </c>
      <c r="N172" s="31"/>
      <c r="O172">
        <v>1</v>
      </c>
      <c r="S172" s="27">
        <f>SUM(Tabel2[[#This Row],[V 1]]*10+Tabel2[[#This Row],[GT 1]])/Tabel2[[#This Row],[AW 1]]*10+Tabel2[[#This Row],[BONUS 1]]</f>
        <v>0</v>
      </c>
      <c r="U172">
        <v>1</v>
      </c>
      <c r="Y172" s="23">
        <f>SUM(Tabel2[[#This Row],[V 2]]*10+Tabel2[[#This Row],[GT 2]])/Tabel2[[#This Row],[AW 2]]*10+Tabel2[[#This Row],[BONUS 2]]</f>
        <v>0</v>
      </c>
      <c r="AA172">
        <v>1</v>
      </c>
      <c r="AE172" s="23">
        <f>SUM(Tabel2[[#This Row],[V 3]]*10+Tabel2[[#This Row],[GT 3]])/Tabel2[[#This Row],[AW 3]]*10+Tabel2[[#This Row],[BONUS 3]]</f>
        <v>0</v>
      </c>
      <c r="AG172">
        <v>1</v>
      </c>
      <c r="AK172" s="23">
        <f>SUM(Tabel2[[#This Row],[V 4]]*10+Tabel2[[#This Row],[GT 4]])/Tabel2[[#This Row],[AW 4]]*10+Tabel2[[#This Row],[BONUS 4]]</f>
        <v>0</v>
      </c>
      <c r="AM172">
        <v>1</v>
      </c>
      <c r="AQ172" s="23">
        <f>SUM(Tabel2[[#This Row],[V 5]]*10+Tabel2[[#This Row],[GT 5]])/Tabel2[[#This Row],[AW 5]]*10+Tabel2[[#This Row],[BONUS 5]]</f>
        <v>0</v>
      </c>
      <c r="AS172">
        <v>1</v>
      </c>
      <c r="AW172" s="23">
        <f>SUM(Tabel2[[#This Row],[V 6]]*10+Tabel2[[#This Row],[GT 6]])/Tabel2[[#This Row],[AW 6]]*10+Tabel2[[#This Row],[BONUS 6]]</f>
        <v>0</v>
      </c>
      <c r="AY172">
        <v>1</v>
      </c>
      <c r="BC172" s="23">
        <f>SUM(Tabel2[[#This Row],[V 7]]*10+Tabel2[[#This Row],[GT 7]])/Tabel2[[#This Row],[AW 7]]*10+Tabel2[[#This Row],[BONUS 7]]</f>
        <v>0</v>
      </c>
      <c r="BE172">
        <v>1</v>
      </c>
      <c r="BI172" s="23">
        <f>SUM(Tabel2[[#This Row],[V 8]]*10+Tabel2[[#This Row],[GT 8]])/Tabel2[[#This Row],[AW 8]]*10+Tabel2[[#This Row],[BONUS 8]]</f>
        <v>0</v>
      </c>
      <c r="BK172">
        <v>1</v>
      </c>
      <c r="BO172" s="23">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2" s="22">
        <v>0</v>
      </c>
      <c r="BX172" s="30">
        <f>Tabel2[[#This Row],[Diploma]]-Tabel2[[#This Row],[Uitgeschreven]]</f>
        <v>0</v>
      </c>
      <c r="BY172" s="2" t="str">
        <f t="shared" si="23"/>
        <v>geen actie</v>
      </c>
      <c r="CA172" s="150">
        <f>Tabel2[[#This Row],[pnt t/m 2021/22]]</f>
        <v>159.375</v>
      </c>
      <c r="CB172" s="150">
        <f>Tabel2[[#This Row],[pnt 2022/2023]]</f>
        <v>0</v>
      </c>
      <c r="CC172" s="150">
        <f t="shared" si="22"/>
        <v>159.375</v>
      </c>
      <c r="CD172" s="150">
        <f>IF(Tabel2[[#This Row],[LPR 1]]&gt;0,1,0)</f>
        <v>0</v>
      </c>
      <c r="CE172" s="150">
        <f>IF(Tabel2[[#This Row],[LPR 2]]&gt;0,1,0)</f>
        <v>0</v>
      </c>
      <c r="CF172" s="150">
        <f>IF(Tabel2[[#This Row],[LPR 3]]&gt;0,1,0)</f>
        <v>0</v>
      </c>
      <c r="CG172" s="150">
        <f>IF(Tabel2[[#This Row],[LPR 4]]&gt;0,1,0)</f>
        <v>0</v>
      </c>
      <c r="CH172" s="150">
        <f>IF(Tabel2[[#This Row],[LPR 5]]&gt;0,1,0)</f>
        <v>0</v>
      </c>
      <c r="CI172" s="150">
        <f>IF(Tabel2[[#This Row],[LPR 6]]&gt;0,1,0)</f>
        <v>0</v>
      </c>
      <c r="CJ172" s="150">
        <f>IF(Tabel2[[#This Row],[LPR 7]]&gt;0,1,0)</f>
        <v>0</v>
      </c>
      <c r="CK172" s="150">
        <f>IF(Tabel2[[#This Row],[LPR 8]]&gt;0,1,0)</f>
        <v>0</v>
      </c>
      <c r="CL172" s="150">
        <f>IF(Tabel2[[#This Row],[LPR 9]]&gt;0,1,0)</f>
        <v>0</v>
      </c>
      <c r="CM172" s="150">
        <f>IF(Tabel2[[#This Row],[LPR 10]]&gt;0,1,0)</f>
        <v>0</v>
      </c>
      <c r="CN172" s="150">
        <f>SUM(Tabel7[[#This Row],[sep]:[jun]])</f>
        <v>0</v>
      </c>
      <c r="CO172" s="22" t="str">
        <f t="shared" si="17"/>
        <v/>
      </c>
      <c r="CP172" s="22" t="str">
        <f t="shared" si="18"/>
        <v/>
      </c>
      <c r="CQ172" s="22" t="str">
        <f t="shared" si="19"/>
        <v/>
      </c>
      <c r="CR172" s="22" t="str">
        <f t="shared" si="20"/>
        <v/>
      </c>
      <c r="CS172" s="22" t="str">
        <f t="shared" si="21"/>
        <v/>
      </c>
    </row>
    <row r="173" spans="1:97" x14ac:dyDescent="0.3">
      <c r="A173" s="22" t="s">
        <v>156</v>
      </c>
      <c r="B173" s="22" t="s">
        <v>149</v>
      </c>
      <c r="D173" s="22" t="s">
        <v>163</v>
      </c>
      <c r="E173" t="s">
        <v>357</v>
      </c>
      <c r="F173" s="22">
        <v>117850</v>
      </c>
      <c r="G173" s="25" t="s">
        <v>358</v>
      </c>
      <c r="H173" s="154">
        <f>Tabel2[[#This Row],[pnt t/m 2021/22]]+Tabel2[[#This Row],[pnt 2022/2023]]</f>
        <v>324.40476190476193</v>
      </c>
      <c r="I173">
        <v>2008</v>
      </c>
      <c r="J173">
        <v>2023</v>
      </c>
      <c r="K173" s="24">
        <f>Tabel2[[#This Row],[ijkdatum]]-Tabel2[[#This Row],[Geboren]]</f>
        <v>15</v>
      </c>
      <c r="L173" s="26">
        <f>Tabel2[[#This Row],[TTL 1]]+Tabel2[[#This Row],[TTL 2]]+Tabel2[[#This Row],[TTL 3]]+Tabel2[[#This Row],[TTL 4]]+Tabel2[[#This Row],[TTL 5]]+Tabel2[[#This Row],[TTL 6]]+Tabel2[[#This Row],[TTL 7]]+Tabel2[[#This Row],[TTL 8]]+Tabel2[[#This Row],[TTL 9]]+Tabel2[[#This Row],[TTL 10]]</f>
        <v>0</v>
      </c>
      <c r="M173" s="151">
        <v>324.40476190476193</v>
      </c>
      <c r="N173" s="31"/>
      <c r="O173">
        <v>1</v>
      </c>
      <c r="S173" s="27">
        <f>SUM(Tabel2[[#This Row],[V 1]]*10+Tabel2[[#This Row],[GT 1]])/Tabel2[[#This Row],[AW 1]]*10+Tabel2[[#This Row],[BONUS 1]]</f>
        <v>0</v>
      </c>
      <c r="U173">
        <v>1</v>
      </c>
      <c r="Y173" s="23">
        <f>SUM(Tabel2[[#This Row],[V 2]]*10+Tabel2[[#This Row],[GT 2]])/Tabel2[[#This Row],[AW 2]]*10+Tabel2[[#This Row],[BONUS 2]]</f>
        <v>0</v>
      </c>
      <c r="AA173">
        <v>1</v>
      </c>
      <c r="AE173" s="23">
        <f>SUM(Tabel2[[#This Row],[V 3]]*10+Tabel2[[#This Row],[GT 3]])/Tabel2[[#This Row],[AW 3]]*10+Tabel2[[#This Row],[BONUS 3]]</f>
        <v>0</v>
      </c>
      <c r="AG173">
        <v>1</v>
      </c>
      <c r="AK173" s="23">
        <f>SUM(Tabel2[[#This Row],[V 4]]*10+Tabel2[[#This Row],[GT 4]])/Tabel2[[#This Row],[AW 4]]*10+Tabel2[[#This Row],[BONUS 4]]</f>
        <v>0</v>
      </c>
      <c r="AM173">
        <v>1</v>
      </c>
      <c r="AQ173" s="23">
        <f>SUM(Tabel2[[#This Row],[V 5]]*10+Tabel2[[#This Row],[GT 5]])/Tabel2[[#This Row],[AW 5]]*10+Tabel2[[#This Row],[BONUS 5]]</f>
        <v>0</v>
      </c>
      <c r="AS173">
        <v>1</v>
      </c>
      <c r="AW173" s="23">
        <f>SUM(Tabel2[[#This Row],[V 6]]*10+Tabel2[[#This Row],[GT 6]])/Tabel2[[#This Row],[AW 6]]*10+Tabel2[[#This Row],[BONUS 6]]</f>
        <v>0</v>
      </c>
      <c r="AY173">
        <v>1</v>
      </c>
      <c r="BC173" s="23">
        <f>SUM(Tabel2[[#This Row],[V 7]]*10+Tabel2[[#This Row],[GT 7]])/Tabel2[[#This Row],[AW 7]]*10+Tabel2[[#This Row],[BONUS 7]]</f>
        <v>0</v>
      </c>
      <c r="BE173">
        <v>1</v>
      </c>
      <c r="BI173" s="23">
        <f>SUM(Tabel2[[#This Row],[V 8]]*10+Tabel2[[#This Row],[GT 8]])/Tabel2[[#This Row],[AW 8]]*10+Tabel2[[#This Row],[BONUS 8]]</f>
        <v>0</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73" s="22">
        <v>250</v>
      </c>
      <c r="BX173" s="30">
        <f>Tabel2[[#This Row],[Diploma]]-Tabel2[[#This Row],[Uitgeschreven]]</f>
        <v>0</v>
      </c>
      <c r="BY173" s="2" t="str">
        <f t="shared" si="23"/>
        <v>geen actie</v>
      </c>
      <c r="CA173" s="150">
        <f>Tabel2[[#This Row],[pnt t/m 2021/22]]</f>
        <v>324.40476190476193</v>
      </c>
      <c r="CB173" s="150">
        <f>Tabel2[[#This Row],[pnt 2022/2023]]</f>
        <v>0</v>
      </c>
      <c r="CC173" s="150">
        <f t="shared" si="22"/>
        <v>324.40476190476193</v>
      </c>
      <c r="CD173" s="150">
        <f>IF(Tabel2[[#This Row],[LPR 1]]&gt;0,1,0)</f>
        <v>0</v>
      </c>
      <c r="CE173" s="150">
        <f>IF(Tabel2[[#This Row],[LPR 2]]&gt;0,1,0)</f>
        <v>0</v>
      </c>
      <c r="CF173" s="150">
        <f>IF(Tabel2[[#This Row],[LPR 3]]&gt;0,1,0)</f>
        <v>0</v>
      </c>
      <c r="CG173" s="150">
        <f>IF(Tabel2[[#This Row],[LPR 4]]&gt;0,1,0)</f>
        <v>0</v>
      </c>
      <c r="CH173" s="150">
        <f>IF(Tabel2[[#This Row],[LPR 5]]&gt;0,1,0)</f>
        <v>0</v>
      </c>
      <c r="CI173" s="150">
        <f>IF(Tabel2[[#This Row],[LPR 6]]&gt;0,1,0)</f>
        <v>0</v>
      </c>
      <c r="CJ173" s="150">
        <f>IF(Tabel2[[#This Row],[LPR 7]]&gt;0,1,0)</f>
        <v>0</v>
      </c>
      <c r="CK173" s="150">
        <f>IF(Tabel2[[#This Row],[LPR 8]]&gt;0,1,0)</f>
        <v>0</v>
      </c>
      <c r="CL173" s="150">
        <f>IF(Tabel2[[#This Row],[LPR 9]]&gt;0,1,0)</f>
        <v>0</v>
      </c>
      <c r="CM173" s="150">
        <f>IF(Tabel2[[#This Row],[LPR 10]]&gt;0,1,0)</f>
        <v>0</v>
      </c>
      <c r="CN173" s="150">
        <f>SUM(Tabel7[[#This Row],[sep]:[jun]])</f>
        <v>0</v>
      </c>
      <c r="CO173" s="22" t="str">
        <f t="shared" si="17"/>
        <v/>
      </c>
      <c r="CP173" s="22" t="str">
        <f t="shared" si="18"/>
        <v/>
      </c>
      <c r="CQ173" s="22" t="str">
        <f t="shared" si="19"/>
        <v/>
      </c>
      <c r="CR173" s="22" t="str">
        <f t="shared" si="20"/>
        <v/>
      </c>
      <c r="CS173" s="22" t="str">
        <f t="shared" si="21"/>
        <v/>
      </c>
    </row>
    <row r="174" spans="1:97" x14ac:dyDescent="0.3">
      <c r="A174" s="22" t="s">
        <v>156</v>
      </c>
      <c r="B174" s="22" t="s">
        <v>149</v>
      </c>
      <c r="D174" s="22" t="s">
        <v>163</v>
      </c>
      <c r="E174" t="s">
        <v>359</v>
      </c>
      <c r="F174" s="22">
        <v>116616</v>
      </c>
      <c r="G174" s="25" t="s">
        <v>206</v>
      </c>
      <c r="H174" s="154">
        <f>Tabel2[[#This Row],[pnt t/m 2021/22]]+Tabel2[[#This Row],[pnt 2022/2023]]</f>
        <v>2655.5039682539682</v>
      </c>
      <c r="I174">
        <v>2007</v>
      </c>
      <c r="J174">
        <v>2023</v>
      </c>
      <c r="K174" s="24">
        <f>Tabel2[[#This Row],[ijkdatum]]-Tabel2[[#This Row],[Geboren]]</f>
        <v>16</v>
      </c>
      <c r="L174" s="26">
        <f>Tabel2[[#This Row],[TTL 1]]+Tabel2[[#This Row],[TTL 2]]+Tabel2[[#This Row],[TTL 3]]+Tabel2[[#This Row],[TTL 4]]+Tabel2[[#This Row],[TTL 5]]+Tabel2[[#This Row],[TTL 6]]+Tabel2[[#This Row],[TTL 7]]+Tabel2[[#This Row],[TTL 8]]+Tabel2[[#This Row],[TTL 9]]+Tabel2[[#This Row],[TTL 10]]</f>
        <v>0</v>
      </c>
      <c r="M174" s="151">
        <v>2655.5039682539682</v>
      </c>
      <c r="N174" s="31"/>
      <c r="O174">
        <v>1</v>
      </c>
      <c r="S174" s="27">
        <f>SUM(Tabel2[[#This Row],[V 1]]*10+Tabel2[[#This Row],[GT 1]])/Tabel2[[#This Row],[AW 1]]*10+Tabel2[[#This Row],[BONUS 1]]</f>
        <v>0</v>
      </c>
      <c r="U174">
        <v>1</v>
      </c>
      <c r="Y174" s="23">
        <f>SUM(Tabel2[[#This Row],[V 2]]*10+Tabel2[[#This Row],[GT 2]])/Tabel2[[#This Row],[AW 2]]*10+Tabel2[[#This Row],[BONUS 2]]</f>
        <v>0</v>
      </c>
      <c r="AA174">
        <v>1</v>
      </c>
      <c r="AE174" s="23">
        <f>SUM(Tabel2[[#This Row],[V 3]]*10+Tabel2[[#This Row],[GT 3]])/Tabel2[[#This Row],[AW 3]]*10+Tabel2[[#This Row],[BONUS 3]]</f>
        <v>0</v>
      </c>
      <c r="AG174">
        <v>1</v>
      </c>
      <c r="AK174" s="23">
        <f>SUM(Tabel2[[#This Row],[V 4]]*10+Tabel2[[#This Row],[GT 4]])/Tabel2[[#This Row],[AW 4]]*10+Tabel2[[#This Row],[BONUS 4]]</f>
        <v>0</v>
      </c>
      <c r="AM174">
        <v>1</v>
      </c>
      <c r="AQ174" s="23">
        <f>SUM(Tabel2[[#This Row],[V 5]]*10+Tabel2[[#This Row],[GT 5]])/Tabel2[[#This Row],[AW 5]]*10+Tabel2[[#This Row],[BONUS 5]]</f>
        <v>0</v>
      </c>
      <c r="AS174">
        <v>1</v>
      </c>
      <c r="AW174" s="23">
        <f>SUM(Tabel2[[#This Row],[V 6]]*10+Tabel2[[#This Row],[GT 6]])/Tabel2[[#This Row],[AW 6]]*10+Tabel2[[#This Row],[BONUS 6]]</f>
        <v>0</v>
      </c>
      <c r="AY174">
        <v>1</v>
      </c>
      <c r="BC174" s="23">
        <f>SUM(Tabel2[[#This Row],[V 7]]*10+Tabel2[[#This Row],[GT 7]])/Tabel2[[#This Row],[AW 7]]*10+Tabel2[[#This Row],[BONUS 7]]</f>
        <v>0</v>
      </c>
      <c r="BE174">
        <v>1</v>
      </c>
      <c r="BI174" s="23">
        <f>SUM(Tabel2[[#This Row],[V 8]]*10+Tabel2[[#This Row],[GT 8]])/Tabel2[[#This Row],[AW 8]]*10+Tabel2[[#This Row],[BONUS 8]]</f>
        <v>0</v>
      </c>
      <c r="BK174">
        <v>1</v>
      </c>
      <c r="BO174" s="23">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74" s="22">
        <v>2500</v>
      </c>
      <c r="BX174" s="30">
        <f>Tabel2[[#This Row],[Diploma]]-Tabel2[[#This Row],[Uitgeschreven]]</f>
        <v>0</v>
      </c>
      <c r="BY174" s="2" t="str">
        <f t="shared" si="23"/>
        <v>geen actie</v>
      </c>
      <c r="CA174" s="150">
        <f>Tabel2[[#This Row],[pnt t/m 2021/22]]</f>
        <v>2655.5039682539682</v>
      </c>
      <c r="CB174" s="150">
        <f>Tabel2[[#This Row],[pnt 2022/2023]]</f>
        <v>0</v>
      </c>
      <c r="CC174" s="150">
        <f t="shared" si="22"/>
        <v>2655.5039682539682</v>
      </c>
      <c r="CD174" s="150">
        <f>IF(Tabel2[[#This Row],[LPR 1]]&gt;0,1,0)</f>
        <v>0</v>
      </c>
      <c r="CE174" s="150">
        <f>IF(Tabel2[[#This Row],[LPR 2]]&gt;0,1,0)</f>
        <v>0</v>
      </c>
      <c r="CF174" s="150">
        <f>IF(Tabel2[[#This Row],[LPR 3]]&gt;0,1,0)</f>
        <v>0</v>
      </c>
      <c r="CG174" s="150">
        <f>IF(Tabel2[[#This Row],[LPR 4]]&gt;0,1,0)</f>
        <v>0</v>
      </c>
      <c r="CH174" s="150">
        <f>IF(Tabel2[[#This Row],[LPR 5]]&gt;0,1,0)</f>
        <v>0</v>
      </c>
      <c r="CI174" s="150">
        <f>IF(Tabel2[[#This Row],[LPR 6]]&gt;0,1,0)</f>
        <v>0</v>
      </c>
      <c r="CJ174" s="150">
        <f>IF(Tabel2[[#This Row],[LPR 7]]&gt;0,1,0)</f>
        <v>0</v>
      </c>
      <c r="CK174" s="150">
        <f>IF(Tabel2[[#This Row],[LPR 8]]&gt;0,1,0)</f>
        <v>0</v>
      </c>
      <c r="CL174" s="150">
        <f>IF(Tabel2[[#This Row],[LPR 9]]&gt;0,1,0)</f>
        <v>0</v>
      </c>
      <c r="CM174" s="150">
        <f>IF(Tabel2[[#This Row],[LPR 10]]&gt;0,1,0)</f>
        <v>0</v>
      </c>
      <c r="CN174" s="150">
        <f>SUM(Tabel7[[#This Row],[sep]:[jun]])</f>
        <v>0</v>
      </c>
      <c r="CO174" s="22" t="str">
        <f t="shared" si="17"/>
        <v/>
      </c>
      <c r="CP174" s="22" t="str">
        <f t="shared" si="18"/>
        <v/>
      </c>
      <c r="CQ174" s="22" t="str">
        <f t="shared" si="19"/>
        <v/>
      </c>
      <c r="CR174" s="22" t="str">
        <f t="shared" si="20"/>
        <v/>
      </c>
      <c r="CS174" s="22" t="str">
        <f t="shared" si="21"/>
        <v/>
      </c>
    </row>
    <row r="175" spans="1:97" x14ac:dyDescent="0.3">
      <c r="A175" s="22" t="s">
        <v>156</v>
      </c>
      <c r="B175" s="22" t="s">
        <v>149</v>
      </c>
      <c r="D175" s="22" t="s">
        <v>163</v>
      </c>
      <c r="E175" t="s">
        <v>360</v>
      </c>
      <c r="F175" s="22">
        <v>119758</v>
      </c>
      <c r="G175" s="25" t="s">
        <v>162</v>
      </c>
      <c r="H175" s="27">
        <f>Tabel2[[#This Row],[pnt t/m 2021/22]]+Tabel2[[#This Row],[pnt 2022/2023]]</f>
        <v>162.47222222222223</v>
      </c>
      <c r="I175">
        <v>2007</v>
      </c>
      <c r="J175">
        <v>2023</v>
      </c>
      <c r="K175" s="24">
        <f>Tabel2[[#This Row],[ijkdatum]]-Tabel2[[#This Row],[Geboren]]</f>
        <v>16</v>
      </c>
      <c r="L175" s="26">
        <f>Tabel2[[#This Row],[TTL 1]]+Tabel2[[#This Row],[TTL 2]]+Tabel2[[#This Row],[TTL 3]]+Tabel2[[#This Row],[TTL 4]]+Tabel2[[#This Row],[TTL 5]]+Tabel2[[#This Row],[TTL 6]]+Tabel2[[#This Row],[TTL 7]]+Tabel2[[#This Row],[TTL 8]]+Tabel2[[#This Row],[TTL 9]]+Tabel2[[#This Row],[TTL 10]]</f>
        <v>0</v>
      </c>
      <c r="M175" s="157">
        <v>162.47222222222223</v>
      </c>
      <c r="N175" s="31"/>
      <c r="O175">
        <v>1</v>
      </c>
      <c r="S175" s="157">
        <f>SUM(Tabel2[[#This Row],[V 1]]*10+Tabel2[[#This Row],[GT 1]])/Tabel2[[#This Row],[AW 1]]*10+Tabel2[[#This Row],[BONUS 1]]</f>
        <v>0</v>
      </c>
      <c r="U175">
        <v>1</v>
      </c>
      <c r="Y175" s="23">
        <f>SUM(Tabel2[[#This Row],[V 2]]*10+Tabel2[[#This Row],[GT 2]])/Tabel2[[#This Row],[AW 2]]*10+Tabel2[[#This Row],[BONUS 2]]</f>
        <v>0</v>
      </c>
      <c r="AA175">
        <v>1</v>
      </c>
      <c r="AE175" s="23">
        <f>SUM(Tabel2[[#This Row],[V 3]]*10+Tabel2[[#This Row],[GT 3]])/Tabel2[[#This Row],[AW 3]]*10+Tabel2[[#This Row],[BONUS 3]]</f>
        <v>0</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5" s="22">
        <v>0</v>
      </c>
      <c r="BX175" s="22">
        <f>Tabel2[[#This Row],[Diploma]]-Tabel2[[#This Row],[Uitgeschreven]]</f>
        <v>0</v>
      </c>
      <c r="BY175" s="155" t="str">
        <f t="shared" si="23"/>
        <v>geen actie</v>
      </c>
      <c r="CA175" s="150">
        <f>Tabel2[[#This Row],[pnt t/m 2021/22]]</f>
        <v>162.47222222222223</v>
      </c>
      <c r="CB175" s="150">
        <f>Tabel2[[#This Row],[pnt 2022/2023]]</f>
        <v>0</v>
      </c>
      <c r="CC175" s="150">
        <f t="shared" si="22"/>
        <v>162.47222222222223</v>
      </c>
      <c r="CD175" s="150">
        <f>IF(Tabel2[[#This Row],[LPR 1]]&gt;0,1,0)</f>
        <v>0</v>
      </c>
      <c r="CE175" s="150">
        <f>IF(Tabel2[[#This Row],[LPR 2]]&gt;0,1,0)</f>
        <v>0</v>
      </c>
      <c r="CF175" s="150">
        <f>IF(Tabel2[[#This Row],[LPR 3]]&gt;0,1,0)</f>
        <v>0</v>
      </c>
      <c r="CG175" s="150">
        <f>IF(Tabel2[[#This Row],[LPR 4]]&gt;0,1,0)</f>
        <v>0</v>
      </c>
      <c r="CH175" s="150">
        <f>IF(Tabel2[[#This Row],[LPR 5]]&gt;0,1,0)</f>
        <v>0</v>
      </c>
      <c r="CI175" s="150">
        <f>IF(Tabel2[[#This Row],[LPR 6]]&gt;0,1,0)</f>
        <v>0</v>
      </c>
      <c r="CJ175" s="150">
        <f>IF(Tabel2[[#This Row],[LPR 7]]&gt;0,1,0)</f>
        <v>0</v>
      </c>
      <c r="CK175" s="150">
        <f>IF(Tabel2[[#This Row],[LPR 8]]&gt;0,1,0)</f>
        <v>0</v>
      </c>
      <c r="CL175" s="150">
        <f>IF(Tabel2[[#This Row],[LPR 9]]&gt;0,1,0)</f>
        <v>0</v>
      </c>
      <c r="CM175" s="150">
        <f>IF(Tabel2[[#This Row],[LPR 10]]&gt;0,1,0)</f>
        <v>0</v>
      </c>
      <c r="CN175" s="150">
        <f>SUM(Tabel7[[#This Row],[sep]:[jun]])</f>
        <v>0</v>
      </c>
      <c r="CO175" s="22" t="str">
        <f t="shared" si="17"/>
        <v/>
      </c>
      <c r="CP175" s="22" t="str">
        <f t="shared" si="18"/>
        <v/>
      </c>
      <c r="CQ175" s="22" t="str">
        <f t="shared" si="19"/>
        <v/>
      </c>
      <c r="CR175" s="22" t="str">
        <f t="shared" si="20"/>
        <v/>
      </c>
      <c r="CS175" s="22" t="str">
        <f t="shared" si="21"/>
        <v/>
      </c>
    </row>
    <row r="176" spans="1:97" x14ac:dyDescent="0.3">
      <c r="A176" s="22" t="s">
        <v>148</v>
      </c>
      <c r="B176" s="22" t="s">
        <v>149</v>
      </c>
      <c r="D176" s="22" t="s">
        <v>160</v>
      </c>
      <c r="E176" t="s">
        <v>361</v>
      </c>
      <c r="F176" s="22">
        <v>120008</v>
      </c>
      <c r="G176" s="25" t="s">
        <v>195</v>
      </c>
      <c r="H176" s="154">
        <f>Tabel2[[#This Row],[pnt t/m 2021/22]]+Tabel2[[#This Row],[pnt 2022/2023]]</f>
        <v>468.12229437229439</v>
      </c>
      <c r="I176">
        <v>2010</v>
      </c>
      <c r="J176">
        <v>2023</v>
      </c>
      <c r="K176" s="24">
        <f>Tabel2[[#This Row],[ijkdatum]]-Tabel2[[#This Row],[Geboren]]</f>
        <v>13</v>
      </c>
      <c r="L176" s="26">
        <f>Tabel2[[#This Row],[TTL 1]]+Tabel2[[#This Row],[TTL 2]]+Tabel2[[#This Row],[TTL 3]]+Tabel2[[#This Row],[TTL 4]]+Tabel2[[#This Row],[TTL 5]]+Tabel2[[#This Row],[TTL 6]]+Tabel2[[#This Row],[TTL 7]]+Tabel2[[#This Row],[TTL 8]]+Tabel2[[#This Row],[TTL 9]]+Tabel2[[#This Row],[TTL 10]]</f>
        <v>53.75</v>
      </c>
      <c r="M176" s="151">
        <v>414.37229437229439</v>
      </c>
      <c r="N176" s="31"/>
      <c r="O176">
        <v>1</v>
      </c>
      <c r="S176" s="27">
        <f>SUM(Tabel2[[#This Row],[V 1]]*10+Tabel2[[#This Row],[GT 1]])/Tabel2[[#This Row],[AW 1]]*10+Tabel2[[#This Row],[BONUS 1]]</f>
        <v>0</v>
      </c>
      <c r="U176">
        <v>1</v>
      </c>
      <c r="Y176" s="23">
        <f>SUM(Tabel2[[#This Row],[V 2]]*10+Tabel2[[#This Row],[GT 2]])/Tabel2[[#This Row],[AW 2]]*10+Tabel2[[#This Row],[BONUS 2]]</f>
        <v>0</v>
      </c>
      <c r="Z176">
        <v>2</v>
      </c>
      <c r="AA176">
        <v>8</v>
      </c>
      <c r="AB176">
        <v>2</v>
      </c>
      <c r="AC176">
        <v>23</v>
      </c>
      <c r="AE176" s="23">
        <f>SUM(Tabel2[[#This Row],[V 3]]*10+Tabel2[[#This Row],[GT 3]])/Tabel2[[#This Row],[AW 3]]*10+Tabel2[[#This Row],[BONUS 3]]</f>
        <v>53.75</v>
      </c>
      <c r="AG176">
        <v>1</v>
      </c>
      <c r="AK176" s="23">
        <f>SUM(Tabel2[[#This Row],[V 4]]*10+Tabel2[[#This Row],[GT 4]])/Tabel2[[#This Row],[AW 4]]*10+Tabel2[[#This Row],[BONUS 4]]</f>
        <v>0</v>
      </c>
      <c r="AM176">
        <v>1</v>
      </c>
      <c r="AQ176" s="23">
        <f>SUM(Tabel2[[#This Row],[V 5]]*10+Tabel2[[#This Row],[GT 5]])/Tabel2[[#This Row],[AW 5]]*10+Tabel2[[#This Row],[BONUS 5]]</f>
        <v>0</v>
      </c>
      <c r="AS176">
        <v>1</v>
      </c>
      <c r="AW176" s="23">
        <f>SUM(Tabel2[[#This Row],[V 6]]*10+Tabel2[[#This Row],[GT 6]])/Tabel2[[#This Row],[AW 6]]*10+Tabel2[[#This Row],[BONUS 6]]</f>
        <v>0</v>
      </c>
      <c r="AY176">
        <v>1</v>
      </c>
      <c r="BC176" s="23">
        <f>SUM(Tabel2[[#This Row],[V 7]]*10+Tabel2[[#This Row],[GT 7]])/Tabel2[[#This Row],[AW 7]]*10+Tabel2[[#This Row],[BONUS 7]]</f>
        <v>0</v>
      </c>
      <c r="BE176">
        <v>1</v>
      </c>
      <c r="BI176" s="23">
        <f>SUM(Tabel2[[#This Row],[V 8]]*10+Tabel2[[#This Row],[GT 8]])/Tabel2[[#This Row],[AW 8]]*10+Tabel2[[#This Row],[BONUS 8]]</f>
        <v>0</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76" s="22">
        <v>250</v>
      </c>
      <c r="BX176" s="30">
        <f>Tabel2[[#This Row],[Diploma]]-Tabel2[[#This Row],[Uitgeschreven]]</f>
        <v>0</v>
      </c>
      <c r="BY176" s="2" t="str">
        <f t="shared" si="23"/>
        <v>geen actie</v>
      </c>
      <c r="CA176" s="150">
        <f>Tabel2[[#This Row],[pnt t/m 2021/22]]</f>
        <v>414.37229437229439</v>
      </c>
      <c r="CB176" s="150">
        <f>Tabel2[[#This Row],[pnt 2022/2023]]</f>
        <v>53.75</v>
      </c>
      <c r="CC176" s="150">
        <f t="shared" si="22"/>
        <v>468.12229437229439</v>
      </c>
      <c r="CD176" s="150">
        <f>IF(Tabel2[[#This Row],[LPR 1]]&gt;0,1,0)</f>
        <v>0</v>
      </c>
      <c r="CE176" s="150">
        <f>IF(Tabel2[[#This Row],[LPR 2]]&gt;0,1,0)</f>
        <v>0</v>
      </c>
      <c r="CF176" s="150">
        <f>IF(Tabel2[[#This Row],[LPR 3]]&gt;0,1,0)</f>
        <v>1</v>
      </c>
      <c r="CG176" s="150">
        <f>IF(Tabel2[[#This Row],[LPR 4]]&gt;0,1,0)</f>
        <v>0</v>
      </c>
      <c r="CH176" s="150">
        <f>IF(Tabel2[[#This Row],[LPR 5]]&gt;0,1,0)</f>
        <v>0</v>
      </c>
      <c r="CI176" s="150">
        <f>IF(Tabel2[[#This Row],[LPR 6]]&gt;0,1,0)</f>
        <v>0</v>
      </c>
      <c r="CJ176" s="150">
        <f>IF(Tabel2[[#This Row],[LPR 7]]&gt;0,1,0)</f>
        <v>0</v>
      </c>
      <c r="CK176" s="150">
        <f>IF(Tabel2[[#This Row],[LPR 8]]&gt;0,1,0)</f>
        <v>0</v>
      </c>
      <c r="CL176" s="150">
        <f>IF(Tabel2[[#This Row],[LPR 9]]&gt;0,1,0)</f>
        <v>0</v>
      </c>
      <c r="CM176" s="150">
        <f>IF(Tabel2[[#This Row],[LPR 10]]&gt;0,1,0)</f>
        <v>0</v>
      </c>
      <c r="CN176" s="150">
        <f>SUM(Tabel7[[#This Row],[sep]:[jun]])</f>
        <v>1</v>
      </c>
      <c r="CO176" s="22" t="str">
        <f t="shared" si="17"/>
        <v/>
      </c>
      <c r="CP176" s="22" t="str">
        <f t="shared" si="18"/>
        <v/>
      </c>
      <c r="CQ176" s="22" t="str">
        <f t="shared" si="19"/>
        <v/>
      </c>
      <c r="CR176" s="22" t="str">
        <f t="shared" si="20"/>
        <v/>
      </c>
      <c r="CS176" s="22" t="str">
        <f t="shared" si="21"/>
        <v/>
      </c>
    </row>
    <row r="177" spans="1:97" x14ac:dyDescent="0.3">
      <c r="A177" s="22" t="s">
        <v>190</v>
      </c>
      <c r="B177" s="22" t="s">
        <v>149</v>
      </c>
      <c r="D177" s="22" t="s">
        <v>150</v>
      </c>
      <c r="E177" t="s">
        <v>362</v>
      </c>
      <c r="F177" s="22">
        <v>118931</v>
      </c>
      <c r="G177" s="25" t="s">
        <v>206</v>
      </c>
      <c r="H177" s="154">
        <f>Tabel2[[#This Row],[pnt t/m 2021/22]]+Tabel2[[#This Row],[pnt 2022/2023]]</f>
        <v>2404.0502822341059</v>
      </c>
      <c r="I177">
        <v>2012</v>
      </c>
      <c r="J177">
        <v>2023</v>
      </c>
      <c r="K177" s="24">
        <f>Tabel2[[#This Row],[ijkdatum]]-Tabel2[[#This Row],[Geboren]]</f>
        <v>11</v>
      </c>
      <c r="L177" s="26">
        <f>Tabel2[[#This Row],[TTL 1]]+Tabel2[[#This Row],[TTL 2]]+Tabel2[[#This Row],[TTL 3]]+Tabel2[[#This Row],[TTL 4]]+Tabel2[[#This Row],[TTL 5]]+Tabel2[[#This Row],[TTL 6]]+Tabel2[[#This Row],[TTL 7]]+Tabel2[[#This Row],[TTL 8]]+Tabel2[[#This Row],[TTL 9]]+Tabel2[[#This Row],[TTL 10]]</f>
        <v>557.96568627450984</v>
      </c>
      <c r="M177" s="151">
        <v>1846.0845959595958</v>
      </c>
      <c r="N177" s="31">
        <v>10</v>
      </c>
      <c r="O177">
        <v>17</v>
      </c>
      <c r="P177">
        <v>5</v>
      </c>
      <c r="Q177">
        <v>52</v>
      </c>
      <c r="R177">
        <v>100</v>
      </c>
      <c r="S177" s="27">
        <f>SUM(Tabel2[[#This Row],[V 1]]*10+Tabel2[[#This Row],[GT 1]])/Tabel2[[#This Row],[AW 1]]*10+Tabel2[[#This Row],[BONUS 1]]</f>
        <v>160</v>
      </c>
      <c r="T177" s="160">
        <v>7</v>
      </c>
      <c r="U177">
        <v>12</v>
      </c>
      <c r="V177">
        <v>7</v>
      </c>
      <c r="W177">
        <v>105</v>
      </c>
      <c r="X177">
        <v>100</v>
      </c>
      <c r="Y177" s="23">
        <f>SUM(Tabel2[[#This Row],[V 2]]*10+(Tabel2[[#This Row],[GT 2]]/2))/Tabel2[[#This Row],[AW 2]]*10+Tabel2[[#This Row],[BONUS 2]]</f>
        <v>202.08333333333334</v>
      </c>
      <c r="Z177">
        <v>9</v>
      </c>
      <c r="AA177">
        <v>17</v>
      </c>
      <c r="AB177">
        <v>10</v>
      </c>
      <c r="AC177">
        <v>63</v>
      </c>
      <c r="AD177">
        <v>100</v>
      </c>
      <c r="AE177" s="23">
        <f>SUM(Tabel2[[#This Row],[V 3]]*10+Tabel2[[#This Row],[GT 3]])/Tabel2[[#This Row],[AW 3]]*10+Tabel2[[#This Row],[BONUS 3]]</f>
        <v>195.88235294117646</v>
      </c>
      <c r="AG177">
        <v>1</v>
      </c>
      <c r="AK177" s="23">
        <f>SUM(Tabel2[[#This Row],[V 4]]*10+Tabel2[[#This Row],[GT 4]])/Tabel2[[#This Row],[AW 4]]*10+Tabel2[[#This Row],[BONUS 4]]</f>
        <v>0</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10]])/2)/Tabel2[[#This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7" s="22">
        <v>2000</v>
      </c>
      <c r="BX177" s="30">
        <f>Tabel2[[#This Row],[Diploma]]-Tabel2[[#This Row],[Uitgeschreven]]</f>
        <v>0</v>
      </c>
      <c r="BY177" s="2" t="str">
        <f t="shared" si="23"/>
        <v>geen actie</v>
      </c>
      <c r="CA177" s="150">
        <f>Tabel2[[#This Row],[pnt t/m 2021/22]]</f>
        <v>1846.0845959595958</v>
      </c>
      <c r="CB177" s="150">
        <f>Tabel2[[#This Row],[pnt 2022/2023]]</f>
        <v>557.96568627450984</v>
      </c>
      <c r="CC177" s="150">
        <f t="shared" si="22"/>
        <v>2404.0502822341059</v>
      </c>
      <c r="CD177" s="150">
        <f>IF(Tabel2[[#This Row],[LPR 1]]&gt;0,1,0)</f>
        <v>1</v>
      </c>
      <c r="CE177" s="150">
        <f>IF(Tabel2[[#This Row],[LPR 2]]&gt;0,1,0)</f>
        <v>1</v>
      </c>
      <c r="CF177" s="150">
        <f>IF(Tabel2[[#This Row],[LPR 3]]&gt;0,1,0)</f>
        <v>1</v>
      </c>
      <c r="CG177" s="150">
        <f>IF(Tabel2[[#This Row],[LPR 4]]&gt;0,1,0)</f>
        <v>0</v>
      </c>
      <c r="CH177" s="150">
        <f>IF(Tabel2[[#This Row],[LPR 5]]&gt;0,1,0)</f>
        <v>0</v>
      </c>
      <c r="CI177" s="150">
        <f>IF(Tabel2[[#This Row],[LPR 6]]&gt;0,1,0)</f>
        <v>0</v>
      </c>
      <c r="CJ177" s="150">
        <f>IF(Tabel2[[#This Row],[LPR 7]]&gt;0,1,0)</f>
        <v>0</v>
      </c>
      <c r="CK177" s="150">
        <f>IF(Tabel2[[#This Row],[LPR 8]]&gt;0,1,0)</f>
        <v>0</v>
      </c>
      <c r="CL177" s="150">
        <f>IF(Tabel2[[#This Row],[LPR 9]]&gt;0,1,0)</f>
        <v>0</v>
      </c>
      <c r="CM177" s="150">
        <f>IF(Tabel2[[#This Row],[LPR 10]]&gt;0,1,0)</f>
        <v>0</v>
      </c>
      <c r="CN177" s="150">
        <f>SUM(Tabel7[[#This Row],[sep]:[jun]])</f>
        <v>3</v>
      </c>
      <c r="CO177" s="22" t="str">
        <f t="shared" si="17"/>
        <v/>
      </c>
      <c r="CP177" s="22" t="str">
        <f t="shared" si="18"/>
        <v/>
      </c>
      <c r="CQ177" s="22" t="str">
        <f t="shared" si="19"/>
        <v>x</v>
      </c>
      <c r="CR177" s="22" t="str">
        <f t="shared" si="20"/>
        <v/>
      </c>
      <c r="CS177" s="22" t="str">
        <f t="shared" si="21"/>
        <v/>
      </c>
    </row>
    <row r="178" spans="1:97" x14ac:dyDescent="0.3">
      <c r="A178" s="22" t="s">
        <v>153</v>
      </c>
      <c r="B178" s="22" t="s">
        <v>157</v>
      </c>
      <c r="D178" s="22" t="s">
        <v>163</v>
      </c>
      <c r="E178" t="s">
        <v>363</v>
      </c>
      <c r="F178" s="22">
        <v>120732</v>
      </c>
      <c r="G178" s="25" t="s">
        <v>364</v>
      </c>
      <c r="H178" s="27">
        <f>Tabel2[[#This Row],[pnt t/m 2021/22]]+Tabel2[[#This Row],[pnt 2022/2023]]</f>
        <v>77.777777777777771</v>
      </c>
      <c r="I178">
        <v>2011</v>
      </c>
      <c r="J178">
        <v>2023</v>
      </c>
      <c r="K178" s="24">
        <f>Tabel2[[#This Row],[ijkdatum]]-Tabel2[[#This Row],[Geboren]]</f>
        <v>12</v>
      </c>
      <c r="L178" s="26">
        <f>Tabel2[[#This Row],[TTL 1]]+Tabel2[[#This Row],[TTL 2]]+Tabel2[[#This Row],[TTL 3]]+Tabel2[[#This Row],[TTL 4]]+Tabel2[[#This Row],[TTL 5]]+Tabel2[[#This Row],[TTL 6]]+Tabel2[[#This Row],[TTL 7]]+Tabel2[[#This Row],[TTL 8]]+Tabel2[[#This Row],[TTL 9]]+Tabel2[[#This Row],[TTL 10]]</f>
        <v>0</v>
      </c>
      <c r="M178" s="157">
        <v>77.777777777777771</v>
      </c>
      <c r="N178" s="31"/>
      <c r="O178">
        <v>1</v>
      </c>
      <c r="S178" s="157">
        <f>SUM(Tabel2[[#This Row],[V 1]]*10+Tabel2[[#This Row],[GT 1]])/Tabel2[[#This Row],[AW 1]]*10+Tabel2[[#This Row],[BONUS 1]]</f>
        <v>0</v>
      </c>
      <c r="U178">
        <v>1</v>
      </c>
      <c r="Y178" s="153">
        <f>SUM(Tabel2[[#This Row],[V 2]]*10+Tabel2[[#This Row],[GT 2]])/Tabel2[[#This Row],[AW 2]]*10+Tabel2[[#This Row],[BONUS 2]]</f>
        <v>0</v>
      </c>
      <c r="AA178">
        <v>1</v>
      </c>
      <c r="AE178" s="153">
        <f>SUM(Tabel2[[#This Row],[V 3]]*10+Tabel2[[#This Row],[GT 3]])/Tabel2[[#This Row],[AW 3]]*10+Tabel2[[#This Row],[BONUS 3]]</f>
        <v>0</v>
      </c>
      <c r="AG178">
        <v>1</v>
      </c>
      <c r="AK178" s="153">
        <f>SUM(Tabel2[[#This Row],[V 4]]*10+Tabel2[[#This Row],[GT 4]])/Tabel2[[#This Row],[AW 4]]*10+Tabel2[[#This Row],[BONUS 4]]</f>
        <v>0</v>
      </c>
      <c r="AM178">
        <v>1</v>
      </c>
      <c r="AQ178" s="153">
        <f>SUM(Tabel2[[#This Row],[V 5]]*10+Tabel2[[#This Row],[GT 5]])/Tabel2[[#This Row],[AW 5]]*10+Tabel2[[#This Row],[BONUS 5]]</f>
        <v>0</v>
      </c>
      <c r="AS178">
        <v>1</v>
      </c>
      <c r="AW178" s="153">
        <f>SUM(Tabel2[[#This Row],[V 6]]*10+Tabel2[[#This Row],[GT 6]])/Tabel2[[#This Row],[AW 6]]*10+Tabel2[[#This Row],[BONUS 6]]</f>
        <v>0</v>
      </c>
      <c r="AY178">
        <v>1</v>
      </c>
      <c r="BC178" s="153">
        <f>SUM(Tabel2[[#This Row],[V 7]]*10+Tabel2[[#This Row],[GT 7]])/Tabel2[[#This Row],[AW 7]]*10+Tabel2[[#This Row],[BONUS 7]]</f>
        <v>0</v>
      </c>
      <c r="BE178">
        <v>1</v>
      </c>
      <c r="BI178" s="153">
        <f>SUM(Tabel2[[#This Row],[V 8]]*10+Tabel2[[#This Row],[GT 8]])/Tabel2[[#This Row],[AW 8]]*10+Tabel2[[#This Row],[BONUS 8]]</f>
        <v>0</v>
      </c>
      <c r="BK178">
        <v>1</v>
      </c>
      <c r="BO178" s="153">
        <f>SUM(Tabel2[[#This Row],[V 9]]*10+Tabel2[[#This Row],[GT 9]])/Tabel2[[#This Row],[AW 9]]*10+Tabel2[[#This Row],[BONUS 9]]</f>
        <v>0</v>
      </c>
      <c r="BQ178">
        <v>1</v>
      </c>
      <c r="BU178" s="23">
        <f>SUM(Tabel2[[#This Row],[V 10]]*10+Tabel2[[#This Row],[GT 10]])/Tabel2[[#This Row],[AW 10]]*10+Tabel2[[#This Row],[BONUS 10]]</f>
        <v>0</v>
      </c>
      <c r="BV17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8" s="22">
        <v>0</v>
      </c>
      <c r="BX178" s="22">
        <f>Tabel2[[#This Row],[Diploma]]-Tabel2[[#This Row],[Uitgeschreven]]</f>
        <v>0</v>
      </c>
      <c r="BY178" s="155" t="str">
        <f t="shared" si="23"/>
        <v>geen actie</v>
      </c>
      <c r="CA178" s="150">
        <f>Tabel2[[#This Row],[pnt t/m 2021/22]]</f>
        <v>77.777777777777771</v>
      </c>
      <c r="CB178" s="150">
        <f>Tabel2[[#This Row],[pnt 2022/2023]]</f>
        <v>0</v>
      </c>
      <c r="CC178" s="150">
        <f t="shared" si="22"/>
        <v>77.777777777777771</v>
      </c>
      <c r="CD178" s="150">
        <f>IF(Tabel2[[#This Row],[LPR 1]]&gt;0,1,0)</f>
        <v>0</v>
      </c>
      <c r="CE178" s="150">
        <f>IF(Tabel2[[#This Row],[LPR 2]]&gt;0,1,0)</f>
        <v>0</v>
      </c>
      <c r="CF178" s="150">
        <f>IF(Tabel2[[#This Row],[LPR 3]]&gt;0,1,0)</f>
        <v>0</v>
      </c>
      <c r="CG178" s="150">
        <f>IF(Tabel2[[#This Row],[LPR 4]]&gt;0,1,0)</f>
        <v>0</v>
      </c>
      <c r="CH178" s="150">
        <f>IF(Tabel2[[#This Row],[LPR 5]]&gt;0,1,0)</f>
        <v>0</v>
      </c>
      <c r="CI178" s="150">
        <f>IF(Tabel2[[#This Row],[LPR 6]]&gt;0,1,0)</f>
        <v>0</v>
      </c>
      <c r="CJ178" s="150">
        <f>IF(Tabel2[[#This Row],[LPR 7]]&gt;0,1,0)</f>
        <v>0</v>
      </c>
      <c r="CK178" s="150">
        <f>IF(Tabel2[[#This Row],[LPR 8]]&gt;0,1,0)</f>
        <v>0</v>
      </c>
      <c r="CL178" s="150">
        <f>IF(Tabel2[[#This Row],[LPR 9]]&gt;0,1,0)</f>
        <v>0</v>
      </c>
      <c r="CM178" s="150">
        <f>IF(Tabel2[[#This Row],[LPR 10]]&gt;0,1,0)</f>
        <v>0</v>
      </c>
      <c r="CN178" s="150">
        <f>SUM(Tabel7[[#This Row],[sep]:[jun]])</f>
        <v>0</v>
      </c>
      <c r="CO178" s="22" t="str">
        <f t="shared" si="17"/>
        <v/>
      </c>
      <c r="CP178" s="22" t="str">
        <f t="shared" si="18"/>
        <v/>
      </c>
      <c r="CQ178" s="22" t="str">
        <f t="shared" si="19"/>
        <v/>
      </c>
      <c r="CR178" s="22" t="str">
        <f t="shared" si="20"/>
        <v/>
      </c>
      <c r="CS178" s="22" t="str">
        <f t="shared" si="21"/>
        <v/>
      </c>
    </row>
    <row r="179" spans="1:97" x14ac:dyDescent="0.3">
      <c r="A179" s="22" t="s">
        <v>148</v>
      </c>
      <c r="B179" s="22" t="s">
        <v>149</v>
      </c>
      <c r="D179" s="22" t="s">
        <v>163</v>
      </c>
      <c r="E179" t="s">
        <v>365</v>
      </c>
      <c r="F179" s="22">
        <v>120181</v>
      </c>
      <c r="G179" s="25" t="s">
        <v>364</v>
      </c>
      <c r="H179" s="27">
        <f>Tabel2[[#This Row],[pnt t/m 2021/22]]+Tabel2[[#This Row],[pnt 2022/2023]]</f>
        <v>863.44444444444446</v>
      </c>
      <c r="I179">
        <v>2005</v>
      </c>
      <c r="J179">
        <v>2023</v>
      </c>
      <c r="K179" s="24">
        <f>Tabel2[[#This Row],[ijkdatum]]-Tabel2[[#This Row],[Geboren]]</f>
        <v>18</v>
      </c>
      <c r="L179" s="26">
        <f>Tabel2[[#This Row],[TTL 1]]+Tabel2[[#This Row],[TTL 2]]+Tabel2[[#This Row],[TTL 3]]+Tabel2[[#This Row],[TTL 4]]+Tabel2[[#This Row],[TTL 5]]+Tabel2[[#This Row],[TTL 6]]+Tabel2[[#This Row],[TTL 7]]+Tabel2[[#This Row],[TTL 8]]+Tabel2[[#This Row],[TTL 9]]+Tabel2[[#This Row],[TTL 10]]</f>
        <v>0</v>
      </c>
      <c r="M179" s="157">
        <v>863.44444444444446</v>
      </c>
      <c r="N179" s="31"/>
      <c r="O179">
        <v>1</v>
      </c>
      <c r="S179" s="157">
        <f>SUM(Tabel2[[#This Row],[V 1]]*10+Tabel2[[#This Row],[GT 1]])/Tabel2[[#This Row],[AW 1]]*10+Tabel2[[#This Row],[BONUS 1]]</f>
        <v>0</v>
      </c>
      <c r="U179">
        <v>1</v>
      </c>
      <c r="Y179" s="153">
        <f>SUM(Tabel2[[#This Row],[V 2]]*10+Tabel2[[#This Row],[GT 2]])/Tabel2[[#This Row],[AW 2]]*10+Tabel2[[#This Row],[BONUS 2]]</f>
        <v>0</v>
      </c>
      <c r="AA179">
        <v>1</v>
      </c>
      <c r="AE179" s="153">
        <f>SUM(Tabel2[[#This Row],[V 3]]*10+Tabel2[[#This Row],[GT 3]])/Tabel2[[#This Row],[AW 3]]*10+Tabel2[[#This Row],[BONUS 3]]</f>
        <v>0</v>
      </c>
      <c r="AG179">
        <v>1</v>
      </c>
      <c r="AK179" s="153">
        <f>SUM(Tabel2[[#This Row],[V 4]]*10+Tabel2[[#This Row],[GT 4]])/Tabel2[[#This Row],[AW 4]]*10+Tabel2[[#This Row],[BONUS 4]]</f>
        <v>0</v>
      </c>
      <c r="AM179">
        <v>1</v>
      </c>
      <c r="AQ179" s="153">
        <f>SUM(Tabel2[[#This Row],[V 5]]*10+Tabel2[[#This Row],[GT 5]])/Tabel2[[#This Row],[AW 5]]*10+Tabel2[[#This Row],[BONUS 5]]</f>
        <v>0</v>
      </c>
      <c r="AS179">
        <v>1</v>
      </c>
      <c r="AW179" s="153">
        <f>SUM(Tabel2[[#This Row],[V 6]]*10+Tabel2[[#This Row],[GT 6]])/Tabel2[[#This Row],[AW 6]]*10+Tabel2[[#This Row],[BONUS 6]]</f>
        <v>0</v>
      </c>
      <c r="AY179">
        <v>1</v>
      </c>
      <c r="BC179" s="153">
        <f>SUM(Tabel2[[#This Row],[V 7]]*10+Tabel2[[#This Row],[GT 7]])/Tabel2[[#This Row],[AW 7]]*10+Tabel2[[#This Row],[BONUS 7]]</f>
        <v>0</v>
      </c>
      <c r="BE179">
        <v>1</v>
      </c>
      <c r="BI179" s="23">
        <f>SUM(Tabel2[[#This Row],[V 8]]*10+Tabel2[[#This Row],[GT 8]])/Tabel2[[#This Row],[AW 8]]*10+Tabel2[[#This Row],[BONUS 8]]</f>
        <v>0</v>
      </c>
      <c r="BK179">
        <v>1</v>
      </c>
      <c r="BO179" s="153">
        <f>SUM(Tabel2[[#This Row],[V 9]]*10+Tabel2[[#This Row],[GT 9]])/Tabel2[[#This Row],[AW 9]]*10+Tabel2[[#This Row],[BONUS 9]]</f>
        <v>0</v>
      </c>
      <c r="BQ179">
        <v>1</v>
      </c>
      <c r="BU179" s="23">
        <f>SUM(Tabel2[[#This Row],[V 10]]*10+Tabel2[[#This Row],[GT 10]])/Tabel2[[#This Row],[AW 10]]*10+Tabel2[[#This Row],[BONUS 10]]</f>
        <v>0</v>
      </c>
      <c r="BV1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9" s="22">
        <v>750</v>
      </c>
      <c r="BX179" s="22">
        <f>Tabel2[[#This Row],[Diploma]]-Tabel2[[#This Row],[Uitgeschreven]]</f>
        <v>0</v>
      </c>
      <c r="BY179" s="155" t="str">
        <f t="shared" si="23"/>
        <v>geen actie</v>
      </c>
      <c r="CA179" s="150">
        <f>Tabel2[[#This Row],[pnt t/m 2021/22]]</f>
        <v>863.44444444444446</v>
      </c>
      <c r="CB179" s="150">
        <f>Tabel2[[#This Row],[pnt 2022/2023]]</f>
        <v>0</v>
      </c>
      <c r="CC179" s="150">
        <f t="shared" si="22"/>
        <v>863.44444444444446</v>
      </c>
      <c r="CD179" s="150">
        <f>IF(Tabel2[[#This Row],[LPR 1]]&gt;0,1,0)</f>
        <v>0</v>
      </c>
      <c r="CE179" s="150">
        <f>IF(Tabel2[[#This Row],[LPR 2]]&gt;0,1,0)</f>
        <v>0</v>
      </c>
      <c r="CF179" s="150">
        <f>IF(Tabel2[[#This Row],[LPR 3]]&gt;0,1,0)</f>
        <v>0</v>
      </c>
      <c r="CG179" s="150">
        <f>IF(Tabel2[[#This Row],[LPR 4]]&gt;0,1,0)</f>
        <v>0</v>
      </c>
      <c r="CH179" s="150">
        <f>IF(Tabel2[[#This Row],[LPR 5]]&gt;0,1,0)</f>
        <v>0</v>
      </c>
      <c r="CI179" s="150">
        <f>IF(Tabel2[[#This Row],[LPR 6]]&gt;0,1,0)</f>
        <v>0</v>
      </c>
      <c r="CJ179" s="150">
        <f>IF(Tabel2[[#This Row],[LPR 7]]&gt;0,1,0)</f>
        <v>0</v>
      </c>
      <c r="CK179" s="150">
        <f>IF(Tabel2[[#This Row],[LPR 8]]&gt;0,1,0)</f>
        <v>0</v>
      </c>
      <c r="CL179" s="150">
        <f>IF(Tabel2[[#This Row],[LPR 9]]&gt;0,1,0)</f>
        <v>0</v>
      </c>
      <c r="CM179" s="150">
        <f>IF(Tabel2[[#This Row],[LPR 10]]&gt;0,1,0)</f>
        <v>0</v>
      </c>
      <c r="CN179" s="150">
        <f>SUM(Tabel7[[#This Row],[sep]:[jun]])</f>
        <v>0</v>
      </c>
      <c r="CO179" s="22" t="str">
        <f t="shared" si="17"/>
        <v/>
      </c>
      <c r="CP179" s="22" t="str">
        <f t="shared" si="18"/>
        <v/>
      </c>
      <c r="CQ179" s="22" t="str">
        <f t="shared" si="19"/>
        <v/>
      </c>
      <c r="CR179" s="22" t="str">
        <f t="shared" si="20"/>
        <v/>
      </c>
      <c r="CS179" s="22" t="str">
        <f t="shared" si="21"/>
        <v/>
      </c>
    </row>
    <row r="180" spans="1:97" x14ac:dyDescent="0.3">
      <c r="A180" s="22" t="s">
        <v>156</v>
      </c>
      <c r="B180" s="22" t="s">
        <v>149</v>
      </c>
      <c r="D180" s="22" t="s">
        <v>163</v>
      </c>
      <c r="E180" t="s">
        <v>366</v>
      </c>
      <c r="F180" s="22">
        <v>120149</v>
      </c>
      <c r="G180" s="25" t="s">
        <v>217</v>
      </c>
      <c r="H180" s="154">
        <f>Tabel2[[#This Row],[pnt t/m 2021/22]]+Tabel2[[#This Row],[pnt 2022/2023]]</f>
        <v>95.714285714285708</v>
      </c>
      <c r="I180">
        <v>2010</v>
      </c>
      <c r="J180">
        <v>2023</v>
      </c>
      <c r="K180" s="24">
        <f>Tabel2[[#This Row],[ijkdatum]]-Tabel2[[#This Row],[Geboren]]</f>
        <v>13</v>
      </c>
      <c r="L180" s="26">
        <f>Tabel2[[#This Row],[TTL 1]]+Tabel2[[#This Row],[TTL 2]]+Tabel2[[#This Row],[TTL 3]]+Tabel2[[#This Row],[TTL 4]]+Tabel2[[#This Row],[TTL 5]]+Tabel2[[#This Row],[TTL 6]]+Tabel2[[#This Row],[TTL 7]]+Tabel2[[#This Row],[TTL 8]]+Tabel2[[#This Row],[TTL 9]]+Tabel2[[#This Row],[TTL 10]]</f>
        <v>0</v>
      </c>
      <c r="M180" s="151">
        <v>95.714285714285708</v>
      </c>
      <c r="N180" s="31"/>
      <c r="O180">
        <v>1</v>
      </c>
      <c r="S180" s="27">
        <f>SUM(Tabel2[[#This Row],[V 1]]*10+Tabel2[[#This Row],[GT 1]])/Tabel2[[#This Row],[AW 1]]*10+Tabel2[[#This Row],[BONUS 1]]</f>
        <v>0</v>
      </c>
      <c r="U180">
        <v>1</v>
      </c>
      <c r="Y180" s="23">
        <f>SUM(Tabel2[[#This Row],[V 2]]*10+Tabel2[[#This Row],[GT 2]])/Tabel2[[#This Row],[AW 2]]*10+Tabel2[[#This Row],[BONUS 2]]</f>
        <v>0</v>
      </c>
      <c r="AA180">
        <v>1</v>
      </c>
      <c r="AE180" s="23">
        <f>SUM(Tabel2[[#This Row],[V 3]]*10+Tabel2[[#This Row],[GT 3]])/Tabel2[[#This Row],[AW 3]]*10+Tabel2[[#This Row],[BONUS 3]]</f>
        <v>0</v>
      </c>
      <c r="AG180">
        <v>1</v>
      </c>
      <c r="AK180" s="23">
        <f>SUM(Tabel2[[#This Row],[V 4]]*10+Tabel2[[#This Row],[GT 4]])/Tabel2[[#This Row],[AW 4]]*10+Tabel2[[#This Row],[BONUS 4]]</f>
        <v>0</v>
      </c>
      <c r="AM180">
        <v>1</v>
      </c>
      <c r="AQ180" s="23">
        <f>SUM(Tabel2[[#This Row],[V 5]]*10+Tabel2[[#This Row],[GT 5]])/Tabel2[[#This Row],[AW 5]]*10+Tabel2[[#This Row],[BONUS 5]]</f>
        <v>0</v>
      </c>
      <c r="AS180">
        <v>1</v>
      </c>
      <c r="AW180" s="23">
        <f>SUM(Tabel2[[#This Row],[V 6]]*10+Tabel2[[#This Row],[GT 6]])/Tabel2[[#This Row],[AW 6]]*10+Tabel2[[#This Row],[BONUS 6]]</f>
        <v>0</v>
      </c>
      <c r="AY180">
        <v>1</v>
      </c>
      <c r="BC180" s="23">
        <f>SUM(Tabel2[[#This Row],[V 7]]*10+Tabel2[[#This Row],[GT 7]])/Tabel2[[#This Row],[AW 7]]*10+Tabel2[[#This Row],[BONUS 7]]</f>
        <v>0</v>
      </c>
      <c r="BE180">
        <v>1</v>
      </c>
      <c r="BI180" s="23">
        <f>SUM(Tabel2[[#This Row],[V 8]]*10+Tabel2[[#This Row],[GT 8]])/Tabel2[[#This Row],[AW 8]]*10+Tabel2[[#This Row],[BONUS 8]]</f>
        <v>0</v>
      </c>
      <c r="BK180">
        <v>1</v>
      </c>
      <c r="BO180" s="23">
        <f>SUM(Tabel2[[#This Row],[V 9]]*10+Tabel2[[#This Row],[GT 9]])/Tabel2[[#This Row],[AW 9]]*10+Tabel2[[#This Row],[BONUS 9]]</f>
        <v>0</v>
      </c>
      <c r="BQ180">
        <v>1</v>
      </c>
      <c r="BU180" s="23">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0" s="22">
        <v>0</v>
      </c>
      <c r="BX180" s="30">
        <f>Tabel2[[#This Row],[Diploma]]-Tabel2[[#This Row],[Uitgeschreven]]</f>
        <v>0</v>
      </c>
      <c r="BY180" s="2" t="str">
        <f t="shared" si="23"/>
        <v>geen actie</v>
      </c>
      <c r="CA180" s="150">
        <f>Tabel2[[#This Row],[pnt t/m 2021/22]]</f>
        <v>95.714285714285708</v>
      </c>
      <c r="CB180" s="150">
        <f>Tabel2[[#This Row],[pnt 2022/2023]]</f>
        <v>0</v>
      </c>
      <c r="CC180" s="150">
        <f t="shared" si="22"/>
        <v>95.714285714285708</v>
      </c>
      <c r="CD180" s="150">
        <f>IF(Tabel2[[#This Row],[LPR 1]]&gt;0,1,0)</f>
        <v>0</v>
      </c>
      <c r="CE180" s="150">
        <f>IF(Tabel2[[#This Row],[LPR 2]]&gt;0,1,0)</f>
        <v>0</v>
      </c>
      <c r="CF180" s="150">
        <f>IF(Tabel2[[#This Row],[LPR 3]]&gt;0,1,0)</f>
        <v>0</v>
      </c>
      <c r="CG180" s="150">
        <f>IF(Tabel2[[#This Row],[LPR 4]]&gt;0,1,0)</f>
        <v>0</v>
      </c>
      <c r="CH180" s="150">
        <f>IF(Tabel2[[#This Row],[LPR 5]]&gt;0,1,0)</f>
        <v>0</v>
      </c>
      <c r="CI180" s="150">
        <f>IF(Tabel2[[#This Row],[LPR 6]]&gt;0,1,0)</f>
        <v>0</v>
      </c>
      <c r="CJ180" s="150">
        <f>IF(Tabel2[[#This Row],[LPR 7]]&gt;0,1,0)</f>
        <v>0</v>
      </c>
      <c r="CK180" s="150">
        <f>IF(Tabel2[[#This Row],[LPR 8]]&gt;0,1,0)</f>
        <v>0</v>
      </c>
      <c r="CL180" s="150">
        <f>IF(Tabel2[[#This Row],[LPR 9]]&gt;0,1,0)</f>
        <v>0</v>
      </c>
      <c r="CM180" s="150">
        <f>IF(Tabel2[[#This Row],[LPR 10]]&gt;0,1,0)</f>
        <v>0</v>
      </c>
      <c r="CN180" s="150">
        <f>SUM(Tabel7[[#This Row],[sep]:[jun]])</f>
        <v>0</v>
      </c>
      <c r="CO180" s="22" t="str">
        <f t="shared" si="17"/>
        <v/>
      </c>
      <c r="CP180" s="22" t="str">
        <f t="shared" si="18"/>
        <v/>
      </c>
      <c r="CQ180" s="22" t="str">
        <f t="shared" si="19"/>
        <v/>
      </c>
      <c r="CR180" s="22" t="str">
        <f t="shared" si="20"/>
        <v/>
      </c>
      <c r="CS180" s="22" t="str">
        <f t="shared" si="21"/>
        <v/>
      </c>
    </row>
    <row r="181" spans="1:97" x14ac:dyDescent="0.3">
      <c r="A181" s="22" t="s">
        <v>153</v>
      </c>
      <c r="B181" s="22" t="s">
        <v>157</v>
      </c>
      <c r="D181" s="22" t="s">
        <v>163</v>
      </c>
      <c r="E181" t="s">
        <v>367</v>
      </c>
      <c r="F181" s="22">
        <v>120494</v>
      </c>
      <c r="G181" s="25" t="s">
        <v>181</v>
      </c>
      <c r="H181" s="27">
        <f>Tabel2[[#This Row],[pnt t/m 2021/22]]+Tabel2[[#This Row],[pnt 2022/2023]]</f>
        <v>93</v>
      </c>
      <c r="I181">
        <v>2012</v>
      </c>
      <c r="J181">
        <v>2023</v>
      </c>
      <c r="K181" s="24">
        <f>Tabel2[[#This Row],[ijkdatum]]-Tabel2[[#This Row],[Geboren]]</f>
        <v>11</v>
      </c>
      <c r="L181" s="26">
        <f>Tabel2[[#This Row],[TTL 1]]+Tabel2[[#This Row],[TTL 2]]+Tabel2[[#This Row],[TTL 3]]+Tabel2[[#This Row],[TTL 4]]+Tabel2[[#This Row],[TTL 5]]+Tabel2[[#This Row],[TTL 6]]+Tabel2[[#This Row],[TTL 7]]+Tabel2[[#This Row],[TTL 8]]+Tabel2[[#This Row],[TTL 9]]+Tabel2[[#This Row],[TTL 10]]</f>
        <v>0</v>
      </c>
      <c r="M181" s="157">
        <v>93</v>
      </c>
      <c r="N181" s="31"/>
      <c r="O181">
        <v>1</v>
      </c>
      <c r="S181" s="157">
        <f>SUM(Tabel2[[#This Row],[V 1]]*10+Tabel2[[#This Row],[GT 1]])/Tabel2[[#This Row],[AW 1]]*10+Tabel2[[#This Row],[BONUS 1]]</f>
        <v>0</v>
      </c>
      <c r="U181">
        <v>1</v>
      </c>
      <c r="Y181" s="153">
        <f>SUM(Tabel2[[#This Row],[V 2]]*10+Tabel2[[#This Row],[GT 2]])/Tabel2[[#This Row],[AW 2]]*10+Tabel2[[#This Row],[BONUS 2]]</f>
        <v>0</v>
      </c>
      <c r="AA181">
        <v>1</v>
      </c>
      <c r="AE181" s="153">
        <f>SUM(Tabel2[[#This Row],[V 3]]*10+Tabel2[[#This Row],[GT 3]])/Tabel2[[#This Row],[AW 3]]*10+Tabel2[[#This Row],[BONUS 3]]</f>
        <v>0</v>
      </c>
      <c r="AG181">
        <v>1</v>
      </c>
      <c r="AK181" s="153">
        <f>SUM(Tabel2[[#This Row],[V 4]]*10+Tabel2[[#This Row],[GT 4]])/Tabel2[[#This Row],[AW 4]]*10+Tabel2[[#This Row],[BONUS 4]]</f>
        <v>0</v>
      </c>
      <c r="AM181">
        <v>1</v>
      </c>
      <c r="AQ181" s="153">
        <f>SUM(Tabel2[[#This Row],[V 5]]*10+Tabel2[[#This Row],[GT 5]])/Tabel2[[#This Row],[AW 5]]*10+Tabel2[[#This Row],[BONUS 5]]</f>
        <v>0</v>
      </c>
      <c r="AS181">
        <v>1</v>
      </c>
      <c r="AW181" s="153">
        <f>SUM(Tabel2[[#This Row],[V 6]]*10+Tabel2[[#This Row],[GT 6]])/Tabel2[[#This Row],[AW 6]]*10+Tabel2[[#This Row],[BONUS 6]]</f>
        <v>0</v>
      </c>
      <c r="AY181">
        <v>1</v>
      </c>
      <c r="BC181" s="153">
        <f>SUM(Tabel2[[#This Row],[V 7]]*10+Tabel2[[#This Row],[GT 7]])/Tabel2[[#This Row],[AW 7]]*10+Tabel2[[#This Row],[BONUS 7]]</f>
        <v>0</v>
      </c>
      <c r="BE181">
        <v>1</v>
      </c>
      <c r="BI181" s="153">
        <f>SUM(Tabel2[[#This Row],[V 8]]*10+Tabel2[[#This Row],[GT 8]])/Tabel2[[#This Row],[AW 8]]*10+Tabel2[[#This Row],[BONUS 8]]</f>
        <v>0</v>
      </c>
      <c r="BK181">
        <v>1</v>
      </c>
      <c r="BO181" s="15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1" s="22">
        <v>0</v>
      </c>
      <c r="BX181" s="22">
        <f>Tabel2[[#This Row],[Diploma]]-Tabel2[[#This Row],[Uitgeschreven]]</f>
        <v>0</v>
      </c>
      <c r="BY181" s="155" t="str">
        <f t="shared" si="23"/>
        <v>geen actie</v>
      </c>
      <c r="CA181" s="150">
        <f>Tabel2[[#This Row],[pnt t/m 2021/22]]</f>
        <v>93</v>
      </c>
      <c r="CB181" s="150">
        <f>Tabel2[[#This Row],[pnt 2022/2023]]</f>
        <v>0</v>
      </c>
      <c r="CC181" s="150">
        <f t="shared" si="22"/>
        <v>93</v>
      </c>
      <c r="CD181" s="150">
        <f>IF(Tabel2[[#This Row],[LPR 1]]&gt;0,1,0)</f>
        <v>0</v>
      </c>
      <c r="CE181" s="150">
        <f>IF(Tabel2[[#This Row],[LPR 2]]&gt;0,1,0)</f>
        <v>0</v>
      </c>
      <c r="CF181" s="150">
        <f>IF(Tabel2[[#This Row],[LPR 3]]&gt;0,1,0)</f>
        <v>0</v>
      </c>
      <c r="CG181" s="150">
        <f>IF(Tabel2[[#This Row],[LPR 4]]&gt;0,1,0)</f>
        <v>0</v>
      </c>
      <c r="CH181" s="150">
        <f>IF(Tabel2[[#This Row],[LPR 5]]&gt;0,1,0)</f>
        <v>0</v>
      </c>
      <c r="CI181" s="150">
        <f>IF(Tabel2[[#This Row],[LPR 6]]&gt;0,1,0)</f>
        <v>0</v>
      </c>
      <c r="CJ181" s="150">
        <f>IF(Tabel2[[#This Row],[LPR 7]]&gt;0,1,0)</f>
        <v>0</v>
      </c>
      <c r="CK181" s="150">
        <f>IF(Tabel2[[#This Row],[LPR 8]]&gt;0,1,0)</f>
        <v>0</v>
      </c>
      <c r="CL181" s="150">
        <f>IF(Tabel2[[#This Row],[LPR 9]]&gt;0,1,0)</f>
        <v>0</v>
      </c>
      <c r="CM181" s="150">
        <f>IF(Tabel2[[#This Row],[LPR 10]]&gt;0,1,0)</f>
        <v>0</v>
      </c>
      <c r="CN181" s="150">
        <f>SUM(Tabel7[[#This Row],[sep]:[jun]])</f>
        <v>0</v>
      </c>
      <c r="CO181" s="22" t="str">
        <f t="shared" si="17"/>
        <v/>
      </c>
      <c r="CP181" s="22" t="str">
        <f t="shared" si="18"/>
        <v/>
      </c>
      <c r="CQ181" s="22" t="str">
        <f t="shared" si="19"/>
        <v/>
      </c>
      <c r="CR181" s="22" t="str">
        <f t="shared" si="20"/>
        <v/>
      </c>
      <c r="CS181" s="22" t="str">
        <f t="shared" si="21"/>
        <v/>
      </c>
    </row>
    <row r="182" spans="1:97" x14ac:dyDescent="0.3">
      <c r="A182" s="22" t="s">
        <v>148</v>
      </c>
      <c r="B182" s="22" t="s">
        <v>149</v>
      </c>
      <c r="D182" s="22" t="s">
        <v>163</v>
      </c>
      <c r="E182" t="s">
        <v>368</v>
      </c>
      <c r="F182" s="22">
        <v>117576</v>
      </c>
      <c r="G182" s="25" t="s">
        <v>195</v>
      </c>
      <c r="H182" s="154">
        <f>Tabel2[[#This Row],[pnt t/m 2021/22]]+Tabel2[[#This Row],[pnt 2022/2023]]</f>
        <v>1423.5824175824177</v>
      </c>
      <c r="I182">
        <v>2009</v>
      </c>
      <c r="J182">
        <v>2023</v>
      </c>
      <c r="K182" s="24">
        <f>Tabel2[[#This Row],[ijkdatum]]-Tabel2[[#This Row],[Geboren]]</f>
        <v>14</v>
      </c>
      <c r="L182" s="26">
        <f>Tabel2[[#This Row],[TTL 1]]+Tabel2[[#This Row],[TTL 2]]+Tabel2[[#This Row],[TTL 3]]+Tabel2[[#This Row],[TTL 4]]+Tabel2[[#This Row],[TTL 5]]+Tabel2[[#This Row],[TTL 6]]+Tabel2[[#This Row],[TTL 7]]+Tabel2[[#This Row],[TTL 8]]+Tabel2[[#This Row],[TTL 9]]+Tabel2[[#This Row],[TTL 10]]</f>
        <v>0</v>
      </c>
      <c r="M182" s="151">
        <v>1423.5824175824177</v>
      </c>
      <c r="N182" s="31"/>
      <c r="O182">
        <v>1</v>
      </c>
      <c r="S182" s="27">
        <f>SUM(Tabel2[[#This Row],[V 1]]*10+Tabel2[[#This Row],[GT 1]])/Tabel2[[#This Row],[AW 1]]*10+Tabel2[[#This Row],[BONUS 1]]</f>
        <v>0</v>
      </c>
      <c r="U182">
        <v>1</v>
      </c>
      <c r="Y182" s="23">
        <f>SUM(Tabel2[[#This Row],[V 2]]*10+Tabel2[[#This Row],[GT 2]])/Tabel2[[#This Row],[AW 2]]*10+Tabel2[[#This Row],[BONUS 2]]</f>
        <v>0</v>
      </c>
      <c r="AA182">
        <v>1</v>
      </c>
      <c r="AE182" s="23">
        <f>SUM(Tabel2[[#This Row],[V 3]]*10+Tabel2[[#This Row],[GT 3]])/Tabel2[[#This Row],[AW 3]]*10+Tabel2[[#This Row],[BONUS 3]]</f>
        <v>0</v>
      </c>
      <c r="AG182">
        <v>1</v>
      </c>
      <c r="AK182" s="23">
        <f>SUM(Tabel2[[#This Row],[V 4]]*10+Tabel2[[#This Row],[GT 4]])/Tabel2[[#This Row],[AW 4]]*10+Tabel2[[#This Row],[BONUS 4]]</f>
        <v>0</v>
      </c>
      <c r="AM182">
        <v>1</v>
      </c>
      <c r="AQ182" s="23">
        <f>SUM(Tabel2[[#This Row],[V 5]]*10+Tabel2[[#This Row],[GT 5]])/Tabel2[[#This Row],[AW 5]]*10+Tabel2[[#This Row],[BONUS 5]]</f>
        <v>0</v>
      </c>
      <c r="AS182">
        <v>1</v>
      </c>
      <c r="AW182" s="23">
        <f>SUM(Tabel2[[#This Row],[V 6]]*10+Tabel2[[#This Row],[GT 6]])/Tabel2[[#This Row],[AW 6]]*10+Tabel2[[#This Row],[BONUS 6]]</f>
        <v>0</v>
      </c>
      <c r="AY182">
        <v>1</v>
      </c>
      <c r="BC182" s="23">
        <f>SUM(Tabel2[[#This Row],[V 7]]*10+Tabel2[[#This Row],[GT 7]])/Tabel2[[#This Row],[AW 7]]*10+Tabel2[[#This Row],[BONUS 7]]</f>
        <v>0</v>
      </c>
      <c r="BE182">
        <v>1</v>
      </c>
      <c r="BI182" s="23">
        <f>SUM(Tabel2[[#This Row],[V 8]]*10+Tabel2[[#This Row],[GT 8]])/Tabel2[[#This Row],[AW 8]]*10+Tabel2[[#This Row],[BONUS 8]]</f>
        <v>0</v>
      </c>
      <c r="BK182">
        <v>1</v>
      </c>
      <c r="BO182" s="23">
        <f>SUM(Tabel2[[#This Row],[V 9]]*10+Tabel2[[#This Row],[GT 9]])/Tabel2[[#This Row],[AW 9]]*10+Tabel2[[#This Row],[BONUS 9]]</f>
        <v>0</v>
      </c>
      <c r="BQ182">
        <v>1</v>
      </c>
      <c r="BU182" s="23">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82" s="22">
        <v>1000</v>
      </c>
      <c r="BX182" s="30">
        <f>Tabel2[[#This Row],[Diploma]]-Tabel2[[#This Row],[Uitgeschreven]]</f>
        <v>0</v>
      </c>
      <c r="BY182" s="2" t="str">
        <f t="shared" si="23"/>
        <v>geen actie</v>
      </c>
      <c r="CA182" s="150">
        <f>Tabel2[[#This Row],[pnt t/m 2021/22]]</f>
        <v>1423.5824175824177</v>
      </c>
      <c r="CB182" s="150">
        <f>Tabel2[[#This Row],[pnt 2022/2023]]</f>
        <v>0</v>
      </c>
      <c r="CC182" s="150">
        <f t="shared" si="22"/>
        <v>1423.5824175824177</v>
      </c>
      <c r="CD182" s="150">
        <f>IF(Tabel2[[#This Row],[LPR 1]]&gt;0,1,0)</f>
        <v>0</v>
      </c>
      <c r="CE182" s="150">
        <f>IF(Tabel2[[#This Row],[LPR 2]]&gt;0,1,0)</f>
        <v>0</v>
      </c>
      <c r="CF182" s="150">
        <f>IF(Tabel2[[#This Row],[LPR 3]]&gt;0,1,0)</f>
        <v>0</v>
      </c>
      <c r="CG182" s="150">
        <f>IF(Tabel2[[#This Row],[LPR 4]]&gt;0,1,0)</f>
        <v>0</v>
      </c>
      <c r="CH182" s="150">
        <f>IF(Tabel2[[#This Row],[LPR 5]]&gt;0,1,0)</f>
        <v>0</v>
      </c>
      <c r="CI182" s="150">
        <f>IF(Tabel2[[#This Row],[LPR 6]]&gt;0,1,0)</f>
        <v>0</v>
      </c>
      <c r="CJ182" s="150">
        <f>IF(Tabel2[[#This Row],[LPR 7]]&gt;0,1,0)</f>
        <v>0</v>
      </c>
      <c r="CK182" s="150">
        <f>IF(Tabel2[[#This Row],[LPR 8]]&gt;0,1,0)</f>
        <v>0</v>
      </c>
      <c r="CL182" s="150">
        <f>IF(Tabel2[[#This Row],[LPR 9]]&gt;0,1,0)</f>
        <v>0</v>
      </c>
      <c r="CM182" s="150">
        <f>IF(Tabel2[[#This Row],[LPR 10]]&gt;0,1,0)</f>
        <v>0</v>
      </c>
      <c r="CN182" s="150">
        <f>SUM(Tabel7[[#This Row],[sep]:[jun]])</f>
        <v>0</v>
      </c>
      <c r="CO182" s="22" t="str">
        <f t="shared" si="17"/>
        <v/>
      </c>
      <c r="CP182" s="22" t="str">
        <f t="shared" si="18"/>
        <v/>
      </c>
      <c r="CQ182" s="22" t="str">
        <f t="shared" si="19"/>
        <v/>
      </c>
      <c r="CR182" s="22" t="str">
        <f t="shared" si="20"/>
        <v/>
      </c>
      <c r="CS182" s="22" t="str">
        <f t="shared" si="21"/>
        <v/>
      </c>
    </row>
    <row r="183" spans="1:97" x14ac:dyDescent="0.3">
      <c r="A183" s="22" t="s">
        <v>159</v>
      </c>
      <c r="B183" s="22" t="s">
        <v>149</v>
      </c>
      <c r="D183" s="22" t="s">
        <v>163</v>
      </c>
      <c r="E183" t="s">
        <v>369</v>
      </c>
      <c r="F183" s="22">
        <v>120274</v>
      </c>
      <c r="G183" s="25" t="s">
        <v>167</v>
      </c>
      <c r="H183" s="27">
        <f>Tabel2[[#This Row],[pnt t/m 2021/22]]+Tabel2[[#This Row],[pnt 2022/2023]]</f>
        <v>218.75</v>
      </c>
      <c r="I183">
        <v>2007</v>
      </c>
      <c r="J183">
        <v>2023</v>
      </c>
      <c r="K183" s="24">
        <f>Tabel2[[#This Row],[ijkdatum]]-Tabel2[[#This Row],[Geboren]]</f>
        <v>16</v>
      </c>
      <c r="L183" s="26">
        <f>Tabel2[[#This Row],[TTL 1]]+Tabel2[[#This Row],[TTL 2]]+Tabel2[[#This Row],[TTL 3]]+Tabel2[[#This Row],[TTL 4]]+Tabel2[[#This Row],[TTL 5]]+Tabel2[[#This Row],[TTL 6]]+Tabel2[[#This Row],[TTL 7]]+Tabel2[[#This Row],[TTL 8]]+Tabel2[[#This Row],[TTL 9]]+Tabel2[[#This Row],[TTL 10]]</f>
        <v>0</v>
      </c>
      <c r="M183" s="157">
        <v>218.75</v>
      </c>
      <c r="N183" s="31"/>
      <c r="O183">
        <v>1</v>
      </c>
      <c r="S183" s="157">
        <f>SUM(Tabel2[[#This Row],[V 1]]*10+Tabel2[[#This Row],[GT 1]])/Tabel2[[#This Row],[AW 1]]*10+Tabel2[[#This Row],[BONUS 1]]</f>
        <v>0</v>
      </c>
      <c r="U183">
        <v>1</v>
      </c>
      <c r="Y183" s="23">
        <f>SUM(Tabel2[[#This Row],[V 2]]*10+Tabel2[[#This Row],[GT 2]])/Tabel2[[#This Row],[AW 2]]*10+Tabel2[[#This Row],[BONUS 2]]</f>
        <v>0</v>
      </c>
      <c r="AA183">
        <v>1</v>
      </c>
      <c r="AE183" s="23">
        <f>SUM(Tabel2[[#This Row],[V 3]]*10+Tabel2[[#This Row],[GT 3]])/Tabel2[[#This Row],[AW 3]]*10+Tabel2[[#This Row],[BONUS 3]]</f>
        <v>0</v>
      </c>
      <c r="AG183">
        <v>1</v>
      </c>
      <c r="AK183" s="23">
        <f>SUM(Tabel2[[#This Row],[V 4]]*10+Tabel2[[#This Row],[GT 4]])/Tabel2[[#This Row],[AW 4]]*10+Tabel2[[#This Row],[BONUS 4]]</f>
        <v>0</v>
      </c>
      <c r="AM183">
        <v>1</v>
      </c>
      <c r="AQ183" s="23">
        <f>SUM(Tabel2[[#This Row],[V 5]]*10+Tabel2[[#This Row],[GT 5]])/Tabel2[[#This Row],[AW 5]]*10+Tabel2[[#This Row],[BONUS 5]]</f>
        <v>0</v>
      </c>
      <c r="AS183">
        <v>1</v>
      </c>
      <c r="AW183" s="23">
        <f>SUM(Tabel2[[#This Row],[V 6]]*10+Tabel2[[#This Row],[GT 6]])/Tabel2[[#This Row],[AW 6]]*10+Tabel2[[#This Row],[BONUS 6]]</f>
        <v>0</v>
      </c>
      <c r="AY183">
        <v>1</v>
      </c>
      <c r="BC183" s="23">
        <f>SUM(Tabel2[[#This Row],[V 7]]*10+Tabel2[[#This Row],[GT 7]])/Tabel2[[#This Row],[AW 7]]*10+Tabel2[[#This Row],[BONUS 7]]</f>
        <v>0</v>
      </c>
      <c r="BE183">
        <v>1</v>
      </c>
      <c r="BI183" s="23">
        <f>SUM(Tabel2[[#This Row],[V 8]]*10+Tabel2[[#This Row],[GT 8]])/Tabel2[[#This Row],[AW 8]]*10+Tabel2[[#This Row],[BONUS 8]]</f>
        <v>0</v>
      </c>
      <c r="BK183">
        <v>1</v>
      </c>
      <c r="BO183" s="23">
        <f>SUM(Tabel2[[#This Row],[V 9]]*10+Tabel2[[#This Row],[GT 9]])/Tabel2[[#This Row],[AW 9]]*10+Tabel2[[#This Row],[BONUS 9]]</f>
        <v>0</v>
      </c>
      <c r="BQ183">
        <v>1</v>
      </c>
      <c r="BU183" s="23">
        <f>SUM(Tabel2[[#This Row],[V 10]]*10+Tabel2[[#This Row],[GT 10]])/Tabel2[[#This Row],[AW 10]]*10+Tabel2[[#This Row],[BONUS 10]]</f>
        <v>0</v>
      </c>
      <c r="BV1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22">
        <f>Tabel2[[#This Row],[Diploma]]-Tabel2[[#This Row],[Uitgeschreven]]</f>
        <v>0</v>
      </c>
      <c r="BY183" s="155" t="str">
        <f t="shared" si="23"/>
        <v>geen actie</v>
      </c>
      <c r="CA183" s="150">
        <f>Tabel2[[#This Row],[pnt t/m 2021/22]]</f>
        <v>218.75</v>
      </c>
      <c r="CB183" s="150">
        <f>Tabel2[[#This Row],[pnt 2022/2023]]</f>
        <v>0</v>
      </c>
      <c r="CC183" s="150">
        <f t="shared" si="22"/>
        <v>218.75</v>
      </c>
      <c r="CD183" s="150">
        <f>IF(Tabel2[[#This Row],[LPR 1]]&gt;0,1,0)</f>
        <v>0</v>
      </c>
      <c r="CE183" s="150">
        <f>IF(Tabel2[[#This Row],[LPR 2]]&gt;0,1,0)</f>
        <v>0</v>
      </c>
      <c r="CF183" s="150">
        <f>IF(Tabel2[[#This Row],[LPR 3]]&gt;0,1,0)</f>
        <v>0</v>
      </c>
      <c r="CG183" s="150">
        <f>IF(Tabel2[[#This Row],[LPR 4]]&gt;0,1,0)</f>
        <v>0</v>
      </c>
      <c r="CH183" s="150">
        <f>IF(Tabel2[[#This Row],[LPR 5]]&gt;0,1,0)</f>
        <v>0</v>
      </c>
      <c r="CI183" s="150">
        <f>IF(Tabel2[[#This Row],[LPR 6]]&gt;0,1,0)</f>
        <v>0</v>
      </c>
      <c r="CJ183" s="150">
        <f>IF(Tabel2[[#This Row],[LPR 7]]&gt;0,1,0)</f>
        <v>0</v>
      </c>
      <c r="CK183" s="150">
        <f>IF(Tabel2[[#This Row],[LPR 8]]&gt;0,1,0)</f>
        <v>0</v>
      </c>
      <c r="CL183" s="150">
        <f>IF(Tabel2[[#This Row],[LPR 9]]&gt;0,1,0)</f>
        <v>0</v>
      </c>
      <c r="CM183" s="150">
        <f>IF(Tabel2[[#This Row],[LPR 10]]&gt;0,1,0)</f>
        <v>0</v>
      </c>
      <c r="CN183" s="150">
        <f>SUM(Tabel7[[#This Row],[sep]:[jun]])</f>
        <v>0</v>
      </c>
      <c r="CO183" s="22" t="str">
        <f t="shared" si="17"/>
        <v/>
      </c>
      <c r="CP183" s="22" t="str">
        <f t="shared" si="18"/>
        <v/>
      </c>
      <c r="CQ183" s="22" t="str">
        <f t="shared" si="19"/>
        <v/>
      </c>
      <c r="CR183" s="22" t="str">
        <f t="shared" si="20"/>
        <v/>
      </c>
      <c r="CS183" s="22" t="str">
        <f t="shared" si="21"/>
        <v/>
      </c>
    </row>
    <row r="184" spans="1:97" x14ac:dyDescent="0.3">
      <c r="A184" s="22" t="s">
        <v>156</v>
      </c>
      <c r="B184" s="22" t="s">
        <v>149</v>
      </c>
      <c r="D184" s="22" t="s">
        <v>163</v>
      </c>
      <c r="E184" t="s">
        <v>370</v>
      </c>
      <c r="F184" s="22">
        <v>118920</v>
      </c>
      <c r="G184" s="25" t="s">
        <v>181</v>
      </c>
      <c r="H184" s="154">
        <f>Tabel2[[#This Row],[pnt t/m 2021/22]]+Tabel2[[#This Row],[pnt 2022/2023]]</f>
        <v>115.71428571428572</v>
      </c>
      <c r="I184">
        <v>2010</v>
      </c>
      <c r="J184">
        <v>2023</v>
      </c>
      <c r="K184" s="24">
        <f>Tabel2[[#This Row],[ijkdatum]]-Tabel2[[#This Row],[Geboren]]</f>
        <v>13</v>
      </c>
      <c r="L184" s="26">
        <f>Tabel2[[#This Row],[TTL 1]]+Tabel2[[#This Row],[TTL 2]]+Tabel2[[#This Row],[TTL 3]]+Tabel2[[#This Row],[TTL 4]]+Tabel2[[#This Row],[TTL 5]]+Tabel2[[#This Row],[TTL 6]]+Tabel2[[#This Row],[TTL 7]]+Tabel2[[#This Row],[TTL 8]]+Tabel2[[#This Row],[TTL 9]]+Tabel2[[#This Row],[TTL 10]]</f>
        <v>0</v>
      </c>
      <c r="M184" s="157">
        <v>115.71428571428572</v>
      </c>
      <c r="N184" s="31"/>
      <c r="O184">
        <v>1</v>
      </c>
      <c r="S184" s="27">
        <f>SUM(Tabel2[[#This Row],[V 1]]*10+Tabel2[[#This Row],[GT 1]])/Tabel2[[#This Row],[AW 1]]*10+Tabel2[[#This Row],[BONUS 1]]</f>
        <v>0</v>
      </c>
      <c r="U184">
        <v>1</v>
      </c>
      <c r="Y184" s="23">
        <f>SUM(Tabel2[[#This Row],[V 2]]*10+Tabel2[[#This Row],[GT 2]])/Tabel2[[#This Row],[AW 2]]*10+Tabel2[[#This Row],[BONUS 2]]</f>
        <v>0</v>
      </c>
      <c r="AA184">
        <v>1</v>
      </c>
      <c r="AE184" s="23">
        <f>SUM(Tabel2[[#This Row],[V 3]]*10+Tabel2[[#This Row],[GT 3]])/Tabel2[[#This Row],[AW 3]]*10+Tabel2[[#This Row],[BONUS 3]]</f>
        <v>0</v>
      </c>
      <c r="AG184">
        <v>1</v>
      </c>
      <c r="AK184" s="23">
        <f>SUM(Tabel2[[#This Row],[V 4]]*10+Tabel2[[#This Row],[GT 4]])/Tabel2[[#This Row],[AW 4]]*10+Tabel2[[#This Row],[BONUS 4]]</f>
        <v>0</v>
      </c>
      <c r="AM184">
        <v>1</v>
      </c>
      <c r="AQ184" s="23">
        <f>SUM(Tabel2[[#This Row],[V 5]]*10+Tabel2[[#This Row],[GT 5]])/Tabel2[[#This Row],[AW 5]]*10+Tabel2[[#This Row],[BONUS 5]]</f>
        <v>0</v>
      </c>
      <c r="AS184">
        <v>1</v>
      </c>
      <c r="AW184" s="23">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4" s="22">
        <v>0</v>
      </c>
      <c r="BX184" s="30">
        <f>Tabel2[[#This Row],[Diploma]]-Tabel2[[#This Row],[Uitgeschreven]]</f>
        <v>0</v>
      </c>
      <c r="BY184" s="2" t="str">
        <f t="shared" si="23"/>
        <v>geen actie</v>
      </c>
      <c r="CA184" s="150">
        <f>Tabel2[[#This Row],[pnt t/m 2021/22]]</f>
        <v>115.71428571428572</v>
      </c>
      <c r="CB184" s="150">
        <f>Tabel2[[#This Row],[pnt 2022/2023]]</f>
        <v>0</v>
      </c>
      <c r="CC184" s="150">
        <f t="shared" si="22"/>
        <v>115.71428571428572</v>
      </c>
      <c r="CD184" s="150">
        <f>IF(Tabel2[[#This Row],[LPR 1]]&gt;0,1,0)</f>
        <v>0</v>
      </c>
      <c r="CE184" s="150">
        <f>IF(Tabel2[[#This Row],[LPR 2]]&gt;0,1,0)</f>
        <v>0</v>
      </c>
      <c r="CF184" s="150">
        <f>IF(Tabel2[[#This Row],[LPR 3]]&gt;0,1,0)</f>
        <v>0</v>
      </c>
      <c r="CG184" s="150">
        <f>IF(Tabel2[[#This Row],[LPR 4]]&gt;0,1,0)</f>
        <v>0</v>
      </c>
      <c r="CH184" s="150">
        <f>IF(Tabel2[[#This Row],[LPR 5]]&gt;0,1,0)</f>
        <v>0</v>
      </c>
      <c r="CI184" s="150">
        <f>IF(Tabel2[[#This Row],[LPR 6]]&gt;0,1,0)</f>
        <v>0</v>
      </c>
      <c r="CJ184" s="150">
        <f>IF(Tabel2[[#This Row],[LPR 7]]&gt;0,1,0)</f>
        <v>0</v>
      </c>
      <c r="CK184" s="150">
        <f>IF(Tabel2[[#This Row],[LPR 8]]&gt;0,1,0)</f>
        <v>0</v>
      </c>
      <c r="CL184" s="150">
        <f>IF(Tabel2[[#This Row],[LPR 9]]&gt;0,1,0)</f>
        <v>0</v>
      </c>
      <c r="CM184" s="150">
        <f>IF(Tabel2[[#This Row],[LPR 10]]&gt;0,1,0)</f>
        <v>0</v>
      </c>
      <c r="CN184" s="150">
        <f>SUM(Tabel7[[#This Row],[sep]:[jun]])</f>
        <v>0</v>
      </c>
      <c r="CO184" s="22" t="str">
        <f t="shared" si="17"/>
        <v/>
      </c>
      <c r="CP184" s="22" t="str">
        <f t="shared" si="18"/>
        <v/>
      </c>
      <c r="CQ184" s="22" t="str">
        <f t="shared" si="19"/>
        <v/>
      </c>
      <c r="CR184" s="22" t="str">
        <f t="shared" si="20"/>
        <v/>
      </c>
      <c r="CS184" s="22" t="str">
        <f t="shared" si="21"/>
        <v/>
      </c>
    </row>
    <row r="185" spans="1:97" x14ac:dyDescent="0.3">
      <c r="A185" s="22" t="s">
        <v>153</v>
      </c>
      <c r="B185" s="22" t="s">
        <v>149</v>
      </c>
      <c r="D185" s="22" t="s">
        <v>163</v>
      </c>
      <c r="E185" t="s">
        <v>371</v>
      </c>
      <c r="F185" s="22">
        <v>118383</v>
      </c>
      <c r="G185" s="25" t="s">
        <v>358</v>
      </c>
      <c r="H185" s="154">
        <f>Tabel2[[#This Row],[pnt t/m 2021/22]]+Tabel2[[#This Row],[pnt 2022/2023]]</f>
        <v>1272.5198412698414</v>
      </c>
      <c r="I185">
        <v>2011</v>
      </c>
      <c r="J185">
        <v>2023</v>
      </c>
      <c r="K185" s="24">
        <f>Tabel2[[#This Row],[ijkdatum]]-Tabel2[[#This Row],[Geboren]]</f>
        <v>12</v>
      </c>
      <c r="L185" s="26">
        <f>Tabel2[[#This Row],[TTL 1]]+Tabel2[[#This Row],[TTL 2]]+Tabel2[[#This Row],[TTL 3]]+Tabel2[[#This Row],[TTL 4]]+Tabel2[[#This Row],[TTL 5]]+Tabel2[[#This Row],[TTL 6]]+Tabel2[[#This Row],[TTL 7]]+Tabel2[[#This Row],[TTL 8]]+Tabel2[[#This Row],[TTL 9]]+Tabel2[[#This Row],[TTL 10]]</f>
        <v>0</v>
      </c>
      <c r="M185" s="157">
        <v>1272.5198412698414</v>
      </c>
      <c r="N185" s="31"/>
      <c r="O185">
        <v>1</v>
      </c>
      <c r="S185" s="27">
        <f>SUM(Tabel2[[#This Row],[V 1]]*10+Tabel2[[#This Row],[GT 1]])/Tabel2[[#This Row],[AW 1]]*10+Tabel2[[#This Row],[BONUS 1]]</f>
        <v>0</v>
      </c>
      <c r="U185">
        <v>1</v>
      </c>
      <c r="Y185" s="23">
        <f>SUM(Tabel2[[#This Row],[V 2]]*10+Tabel2[[#This Row],[GT 2]])/Tabel2[[#This Row],[AW 2]]*10+Tabel2[[#This Row],[BONUS 2]]</f>
        <v>0</v>
      </c>
      <c r="AA185">
        <v>1</v>
      </c>
      <c r="AE185" s="23">
        <f>SUM(Tabel2[[#This Row],[V 3]]*10+Tabel2[[#This Row],[GT 3]])/Tabel2[[#This Row],[AW 3]]*10+Tabel2[[#This Row],[BONUS 3]]</f>
        <v>0</v>
      </c>
      <c r="AG185">
        <v>1</v>
      </c>
      <c r="AK185" s="23">
        <f>SUM(Tabel2[[#This Row],[V 4]]*10+Tabel2[[#This Row],[GT 4]])/Tabel2[[#This Row],[AW 4]]*10+Tabel2[[#This Row],[BONUS 4]]</f>
        <v>0</v>
      </c>
      <c r="AM185">
        <v>1</v>
      </c>
      <c r="AQ185" s="23">
        <f>SUM(Tabel2[[#This Row],[V 5]]*10+Tabel2[[#This Row],[GT 5]])/Tabel2[[#This Row],[AW 5]]*10+Tabel2[[#This Row],[BONUS 5]]</f>
        <v>0</v>
      </c>
      <c r="AS185">
        <v>1</v>
      </c>
      <c r="AW185" s="23">
        <f>SUM(Tabel2[[#This Row],[V 6]]*10+Tabel2[[#This Row],[GT 6]])/Tabel2[[#This Row],[AW 6]]*10+Tabel2[[#This Row],[BONUS 6]]</f>
        <v>0</v>
      </c>
      <c r="AY185">
        <v>1</v>
      </c>
      <c r="BC185" s="23">
        <f>SUM(Tabel2[[#This Row],[V 7]]*10+Tabel2[[#This Row],[GT 7]])/Tabel2[[#This Row],[AW 7]]*10+Tabel2[[#This Row],[BONUS 7]]</f>
        <v>0</v>
      </c>
      <c r="BE185">
        <v>1</v>
      </c>
      <c r="BI185" s="23">
        <f>SUM(Tabel2[[#This Row],[V 8]]*10+Tabel2[[#This Row],[GT 8]])/Tabel2[[#This Row],[AW 8]]*10+Tabel2[[#This Row],[BONUS 8]]</f>
        <v>0</v>
      </c>
      <c r="BK185">
        <v>1</v>
      </c>
      <c r="BO185" s="23">
        <f>SUM(Tabel2[[#This Row],[V 9]]*10+Tabel2[[#This Row],[GT 9]])/Tabel2[[#This Row],[AW 9]]*10+Tabel2[[#This Row],[BONUS 9]]</f>
        <v>0</v>
      </c>
      <c r="BQ185">
        <v>1</v>
      </c>
      <c r="BU185" s="23">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85" s="22">
        <v>1000</v>
      </c>
      <c r="BX185" s="30">
        <f>Tabel2[[#This Row],[Diploma]]-Tabel2[[#This Row],[Uitgeschreven]]</f>
        <v>0</v>
      </c>
      <c r="BY185" s="2" t="str">
        <f t="shared" si="23"/>
        <v>geen actie</v>
      </c>
      <c r="CA185" s="150">
        <f>Tabel2[[#This Row],[pnt t/m 2021/22]]</f>
        <v>1272.5198412698414</v>
      </c>
      <c r="CB185" s="150">
        <f>Tabel2[[#This Row],[pnt 2022/2023]]</f>
        <v>0</v>
      </c>
      <c r="CC185" s="150">
        <f t="shared" si="22"/>
        <v>1272.5198412698414</v>
      </c>
      <c r="CD185" s="150">
        <f>IF(Tabel2[[#This Row],[LPR 1]]&gt;0,1,0)</f>
        <v>0</v>
      </c>
      <c r="CE185" s="150">
        <f>IF(Tabel2[[#This Row],[LPR 2]]&gt;0,1,0)</f>
        <v>0</v>
      </c>
      <c r="CF185" s="150">
        <f>IF(Tabel2[[#This Row],[LPR 3]]&gt;0,1,0)</f>
        <v>0</v>
      </c>
      <c r="CG185" s="150">
        <f>IF(Tabel2[[#This Row],[LPR 4]]&gt;0,1,0)</f>
        <v>0</v>
      </c>
      <c r="CH185" s="150">
        <f>IF(Tabel2[[#This Row],[LPR 5]]&gt;0,1,0)</f>
        <v>0</v>
      </c>
      <c r="CI185" s="150">
        <f>IF(Tabel2[[#This Row],[LPR 6]]&gt;0,1,0)</f>
        <v>0</v>
      </c>
      <c r="CJ185" s="150">
        <f>IF(Tabel2[[#This Row],[LPR 7]]&gt;0,1,0)</f>
        <v>0</v>
      </c>
      <c r="CK185" s="150">
        <f>IF(Tabel2[[#This Row],[LPR 8]]&gt;0,1,0)</f>
        <v>0</v>
      </c>
      <c r="CL185" s="150">
        <f>IF(Tabel2[[#This Row],[LPR 9]]&gt;0,1,0)</f>
        <v>0</v>
      </c>
      <c r="CM185" s="150">
        <f>IF(Tabel2[[#This Row],[LPR 10]]&gt;0,1,0)</f>
        <v>0</v>
      </c>
      <c r="CN185" s="150">
        <f>SUM(Tabel7[[#This Row],[sep]:[jun]])</f>
        <v>0</v>
      </c>
      <c r="CO185" s="22" t="str">
        <f t="shared" si="17"/>
        <v/>
      </c>
      <c r="CP185" s="22" t="str">
        <f t="shared" si="18"/>
        <v/>
      </c>
      <c r="CQ185" s="22" t="str">
        <f t="shared" si="19"/>
        <v/>
      </c>
      <c r="CR185" s="22" t="str">
        <f t="shared" si="20"/>
        <v/>
      </c>
      <c r="CS185" s="22" t="str">
        <f t="shared" si="21"/>
        <v/>
      </c>
    </row>
    <row r="186" spans="1:97" x14ac:dyDescent="0.3">
      <c r="A186" s="22" t="s">
        <v>148</v>
      </c>
      <c r="B186" s="22" t="s">
        <v>149</v>
      </c>
      <c r="D186" s="22" t="s">
        <v>163</v>
      </c>
      <c r="E186" t="s">
        <v>372</v>
      </c>
      <c r="F186" s="22">
        <v>119179</v>
      </c>
      <c r="G186" s="25" t="s">
        <v>198</v>
      </c>
      <c r="H186" s="154">
        <f>Tabel2[[#This Row],[pnt t/m 2021/22]]+Tabel2[[#This Row],[pnt 2022/2023]]</f>
        <v>653.14285714285711</v>
      </c>
      <c r="I186">
        <v>2011</v>
      </c>
      <c r="J186">
        <v>2023</v>
      </c>
      <c r="K186" s="24">
        <f>Tabel2[[#This Row],[ijkdatum]]-Tabel2[[#This Row],[Geboren]]</f>
        <v>12</v>
      </c>
      <c r="L186" s="26">
        <f>Tabel2[[#This Row],[TTL 1]]+Tabel2[[#This Row],[TTL 2]]+Tabel2[[#This Row],[TTL 3]]+Tabel2[[#This Row],[TTL 4]]+Tabel2[[#This Row],[TTL 5]]+Tabel2[[#This Row],[TTL 6]]+Tabel2[[#This Row],[TTL 7]]+Tabel2[[#This Row],[TTL 8]]+Tabel2[[#This Row],[TTL 9]]+Tabel2[[#This Row],[TTL 10]]</f>
        <v>0</v>
      </c>
      <c r="M186" s="151">
        <v>653.14285714285711</v>
      </c>
      <c r="N186" s="31"/>
      <c r="O186">
        <v>1</v>
      </c>
      <c r="S186" s="27">
        <f>SUM(Tabel2[[#This Row],[V 1]]*10+Tabel2[[#This Row],[GT 1]])/Tabel2[[#This Row],[AW 1]]*10+Tabel2[[#This Row],[BONUS 1]]</f>
        <v>0</v>
      </c>
      <c r="U186">
        <v>1</v>
      </c>
      <c r="Y186" s="23">
        <f>SUM(Tabel2[[#This Row],[V 2]]*10+Tabel2[[#This Row],[GT 2]])/Tabel2[[#This Row],[AW 2]]*10+Tabel2[[#This Row],[BONUS 2]]</f>
        <v>0</v>
      </c>
      <c r="AA186">
        <v>1</v>
      </c>
      <c r="AE186" s="23">
        <f>SUM(Tabel2[[#This Row],[V 3]]*10+Tabel2[[#This Row],[GT 3]])/Tabel2[[#This Row],[AW 3]]*10+Tabel2[[#This Row],[BONUS 3]]</f>
        <v>0</v>
      </c>
      <c r="AG186">
        <v>1</v>
      </c>
      <c r="AK186" s="23">
        <f>SUM(Tabel2[[#This Row],[V 4]]*10+Tabel2[[#This Row],[GT 4]])/Tabel2[[#This Row],[AW 4]]*10+Tabel2[[#This Row],[BONUS 4]]</f>
        <v>0</v>
      </c>
      <c r="AM186">
        <v>1</v>
      </c>
      <c r="AQ186" s="23">
        <f>SUM(Tabel2[[#This Row],[V 5]]*10+Tabel2[[#This Row],[GT 5]])/Tabel2[[#This Row],[AW 5]]*10+Tabel2[[#This Row],[BONUS 5]]</f>
        <v>0</v>
      </c>
      <c r="AS186">
        <v>1</v>
      </c>
      <c r="AW186" s="23">
        <f>SUM(Tabel2[[#This Row],[V 6]]*10+Tabel2[[#This Row],[GT 6]])/Tabel2[[#This Row],[AW 6]]*10+Tabel2[[#This Row],[BONUS 6]]</f>
        <v>0</v>
      </c>
      <c r="AY186">
        <v>1</v>
      </c>
      <c r="BC186" s="23">
        <f>SUM(Tabel2[[#This Row],[V 7]]*10+Tabel2[[#This Row],[GT 7]])/Tabel2[[#This Row],[AW 7]]*10+Tabel2[[#This Row],[BONUS 7]]</f>
        <v>0</v>
      </c>
      <c r="BE186">
        <v>1</v>
      </c>
      <c r="BI186" s="23">
        <f>SUM(Tabel2[[#This Row],[V 8]]*10+Tabel2[[#This Row],[GT 8]])/Tabel2[[#This Row],[AW 8]]*10+Tabel2[[#This Row],[BONUS 8]]</f>
        <v>0</v>
      </c>
      <c r="BK186">
        <v>1</v>
      </c>
      <c r="BO186" s="23">
        <f>SUM(Tabel2[[#This Row],[V 9]]*10+Tabel2[[#This Row],[GT 9]])/Tabel2[[#This Row],[AW 9]]*10+Tabel2[[#This Row],[BONUS 9]]</f>
        <v>0</v>
      </c>
      <c r="BQ186">
        <v>1</v>
      </c>
      <c r="BU186" s="23">
        <f>SUM(Tabel2[[#This Row],[V 10]]*10+Tabel2[[#This Row],[GT 10]])/Tabel2[[#This Row],[AW 10]]*10+Tabel2[[#This Row],[BONUS 10]]</f>
        <v>0</v>
      </c>
      <c r="BV18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6" s="22">
        <v>500</v>
      </c>
      <c r="BX186" s="30">
        <f>Tabel2[[#This Row],[Diploma]]-Tabel2[[#This Row],[Uitgeschreven]]</f>
        <v>0</v>
      </c>
      <c r="BY186" s="2" t="str">
        <f t="shared" si="23"/>
        <v>geen actie</v>
      </c>
      <c r="CA186" s="150">
        <f>Tabel2[[#This Row],[pnt t/m 2021/22]]</f>
        <v>653.14285714285711</v>
      </c>
      <c r="CB186" s="150">
        <f>Tabel2[[#This Row],[pnt 2022/2023]]</f>
        <v>0</v>
      </c>
      <c r="CC186" s="150">
        <f t="shared" si="22"/>
        <v>653.14285714285711</v>
      </c>
      <c r="CD186" s="150">
        <f>IF(Tabel2[[#This Row],[LPR 1]]&gt;0,1,0)</f>
        <v>0</v>
      </c>
      <c r="CE186" s="150">
        <f>IF(Tabel2[[#This Row],[LPR 2]]&gt;0,1,0)</f>
        <v>0</v>
      </c>
      <c r="CF186" s="150">
        <f>IF(Tabel2[[#This Row],[LPR 3]]&gt;0,1,0)</f>
        <v>0</v>
      </c>
      <c r="CG186" s="150">
        <f>IF(Tabel2[[#This Row],[LPR 4]]&gt;0,1,0)</f>
        <v>0</v>
      </c>
      <c r="CH186" s="150">
        <f>IF(Tabel2[[#This Row],[LPR 5]]&gt;0,1,0)</f>
        <v>0</v>
      </c>
      <c r="CI186" s="150">
        <f>IF(Tabel2[[#This Row],[LPR 6]]&gt;0,1,0)</f>
        <v>0</v>
      </c>
      <c r="CJ186" s="150">
        <f>IF(Tabel2[[#This Row],[LPR 7]]&gt;0,1,0)</f>
        <v>0</v>
      </c>
      <c r="CK186" s="150">
        <f>IF(Tabel2[[#This Row],[LPR 8]]&gt;0,1,0)</f>
        <v>0</v>
      </c>
      <c r="CL186" s="150">
        <f>IF(Tabel2[[#This Row],[LPR 9]]&gt;0,1,0)</f>
        <v>0</v>
      </c>
      <c r="CM186" s="150">
        <f>IF(Tabel2[[#This Row],[LPR 10]]&gt;0,1,0)</f>
        <v>0</v>
      </c>
      <c r="CN186" s="150">
        <f>SUM(Tabel7[[#This Row],[sep]:[jun]])</f>
        <v>0</v>
      </c>
      <c r="CO186" s="22" t="str">
        <f t="shared" si="17"/>
        <v/>
      </c>
      <c r="CP186" s="22" t="str">
        <f t="shared" si="18"/>
        <v/>
      </c>
      <c r="CQ186" s="22" t="str">
        <f t="shared" si="19"/>
        <v/>
      </c>
      <c r="CR186" s="22" t="str">
        <f t="shared" si="20"/>
        <v/>
      </c>
      <c r="CS186" s="22" t="str">
        <f t="shared" si="21"/>
        <v/>
      </c>
    </row>
    <row r="187" spans="1:97" x14ac:dyDescent="0.3">
      <c r="A187" s="22" t="s">
        <v>153</v>
      </c>
      <c r="B187" s="22" t="s">
        <v>157</v>
      </c>
      <c r="D187" s="22" t="s">
        <v>163</v>
      </c>
      <c r="E187" t="s">
        <v>373</v>
      </c>
      <c r="F187" s="22">
        <v>117703</v>
      </c>
      <c r="G187" s="25" t="s">
        <v>162</v>
      </c>
      <c r="H187" s="154">
        <f>Tabel2[[#This Row],[pnt t/m 2021/22]]+Tabel2[[#This Row],[pnt 2022/2023]]</f>
        <v>1309.4029304029305</v>
      </c>
      <c r="I187">
        <v>2010</v>
      </c>
      <c r="J187">
        <v>2023</v>
      </c>
      <c r="K187" s="24">
        <f>Tabel2[[#This Row],[ijkdatum]]-Tabel2[[#This Row],[Geboren]]</f>
        <v>13</v>
      </c>
      <c r="L187" s="26">
        <f>Tabel2[[#This Row],[TTL 1]]+Tabel2[[#This Row],[TTL 2]]+Tabel2[[#This Row],[TTL 3]]+Tabel2[[#This Row],[TTL 4]]+Tabel2[[#This Row],[TTL 5]]+Tabel2[[#This Row],[TTL 6]]+Tabel2[[#This Row],[TTL 7]]+Tabel2[[#This Row],[TTL 8]]+Tabel2[[#This Row],[TTL 9]]+Tabel2[[#This Row],[TTL 10]]</f>
        <v>0</v>
      </c>
      <c r="M187" s="157">
        <v>1309.4029304029305</v>
      </c>
      <c r="N187" s="31"/>
      <c r="O187">
        <v>1</v>
      </c>
      <c r="S187" s="27">
        <f>SUM(Tabel2[[#This Row],[V 1]]*10+Tabel2[[#This Row],[GT 1]])/Tabel2[[#This Row],[AW 1]]*10+Tabel2[[#This Row],[BONUS 1]]</f>
        <v>0</v>
      </c>
      <c r="U187">
        <v>1</v>
      </c>
      <c r="Y187" s="23">
        <f>SUM(Tabel2[[#This Row],[V 2]]*10+Tabel2[[#This Row],[GT 2]])/Tabel2[[#This Row],[AW 2]]*10+Tabel2[[#This Row],[BONUS 2]]</f>
        <v>0</v>
      </c>
      <c r="AA187">
        <v>1</v>
      </c>
      <c r="AE187" s="23">
        <f>SUM(Tabel2[[#This Row],[V 3]]*10+Tabel2[[#This Row],[GT 3]])/Tabel2[[#This Row],[AW 3]]*10+Tabel2[[#This Row],[BONUS 3]]</f>
        <v>0</v>
      </c>
      <c r="AG187">
        <v>1</v>
      </c>
      <c r="AK187" s="23">
        <f>SUM(Tabel2[[#This Row],[V 4]]*10+Tabel2[[#This Row],[GT 4]])/Tabel2[[#This Row],[AW 4]]*10+Tabel2[[#This Row],[BONUS 4]]</f>
        <v>0</v>
      </c>
      <c r="AM187">
        <v>1</v>
      </c>
      <c r="AQ187" s="23">
        <f>SUM(Tabel2[[#This Row],[V 5]]*10+Tabel2[[#This Row],[GT 5]])/Tabel2[[#This Row],[AW 5]]*10+Tabel2[[#This Row],[BONUS 5]]</f>
        <v>0</v>
      </c>
      <c r="AS187">
        <v>1</v>
      </c>
      <c r="AW187" s="23">
        <f>SUM(Tabel2[[#This Row],[V 6]]*10+Tabel2[[#This Row],[GT 6]])/Tabel2[[#This Row],[AW 6]]*10+Tabel2[[#This Row],[BONUS 6]]</f>
        <v>0</v>
      </c>
      <c r="AY187">
        <v>1</v>
      </c>
      <c r="BC187" s="23">
        <f>SUM(Tabel2[[#This Row],[V 7]]*10+Tabel2[[#This Row],[GT 7]])/Tabel2[[#This Row],[AW 7]]*10+Tabel2[[#This Row],[BONUS 7]]</f>
        <v>0</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87" s="22">
        <v>1000</v>
      </c>
      <c r="BX187" s="30">
        <f>Tabel2[[#This Row],[Diploma]]-Tabel2[[#This Row],[Uitgeschreven]]</f>
        <v>0</v>
      </c>
      <c r="BY187" s="2" t="str">
        <f t="shared" si="23"/>
        <v>geen actie</v>
      </c>
      <c r="CA187" s="150">
        <f>Tabel2[[#This Row],[pnt t/m 2021/22]]</f>
        <v>1309.4029304029305</v>
      </c>
      <c r="CB187" s="150">
        <f>Tabel2[[#This Row],[pnt 2022/2023]]</f>
        <v>0</v>
      </c>
      <c r="CC187" s="150">
        <f t="shared" si="22"/>
        <v>1309.4029304029305</v>
      </c>
      <c r="CD187" s="150">
        <f>IF(Tabel2[[#This Row],[LPR 1]]&gt;0,1,0)</f>
        <v>0</v>
      </c>
      <c r="CE187" s="150">
        <f>IF(Tabel2[[#This Row],[LPR 2]]&gt;0,1,0)</f>
        <v>0</v>
      </c>
      <c r="CF187" s="150">
        <f>IF(Tabel2[[#This Row],[LPR 3]]&gt;0,1,0)</f>
        <v>0</v>
      </c>
      <c r="CG187" s="150">
        <f>IF(Tabel2[[#This Row],[LPR 4]]&gt;0,1,0)</f>
        <v>0</v>
      </c>
      <c r="CH187" s="150">
        <f>IF(Tabel2[[#This Row],[LPR 5]]&gt;0,1,0)</f>
        <v>0</v>
      </c>
      <c r="CI187" s="150">
        <f>IF(Tabel2[[#This Row],[LPR 6]]&gt;0,1,0)</f>
        <v>0</v>
      </c>
      <c r="CJ187" s="150">
        <f>IF(Tabel2[[#This Row],[LPR 7]]&gt;0,1,0)</f>
        <v>0</v>
      </c>
      <c r="CK187" s="150">
        <f>IF(Tabel2[[#This Row],[LPR 8]]&gt;0,1,0)</f>
        <v>0</v>
      </c>
      <c r="CL187" s="150">
        <f>IF(Tabel2[[#This Row],[LPR 9]]&gt;0,1,0)</f>
        <v>0</v>
      </c>
      <c r="CM187" s="150">
        <f>IF(Tabel2[[#This Row],[LPR 10]]&gt;0,1,0)</f>
        <v>0</v>
      </c>
      <c r="CN187" s="150">
        <f>SUM(Tabel7[[#This Row],[sep]:[jun]])</f>
        <v>0</v>
      </c>
      <c r="CO187" s="22" t="str">
        <f t="shared" si="17"/>
        <v/>
      </c>
      <c r="CP187" s="22" t="str">
        <f t="shared" si="18"/>
        <v/>
      </c>
      <c r="CQ187" s="22" t="str">
        <f t="shared" si="19"/>
        <v/>
      </c>
      <c r="CR187" s="22" t="str">
        <f t="shared" si="20"/>
        <v/>
      </c>
      <c r="CS187" s="22" t="str">
        <f t="shared" si="21"/>
        <v/>
      </c>
    </row>
    <row r="188" spans="1:97" x14ac:dyDescent="0.3">
      <c r="A188" s="22" t="s">
        <v>156</v>
      </c>
      <c r="B188" s="22" t="s">
        <v>149</v>
      </c>
      <c r="D188" s="22" t="s">
        <v>163</v>
      </c>
      <c r="E188" t="s">
        <v>374</v>
      </c>
      <c r="F188" s="22">
        <v>119645</v>
      </c>
      <c r="G188" s="25" t="s">
        <v>185</v>
      </c>
      <c r="H188" s="154">
        <f>Tabel2[[#This Row],[pnt t/m 2021/22]]+Tabel2[[#This Row],[pnt 2022/2023]]</f>
        <v>186.66666666666666</v>
      </c>
      <c r="I188">
        <v>2010</v>
      </c>
      <c r="J188">
        <v>2023</v>
      </c>
      <c r="K188" s="24">
        <f>Tabel2[[#This Row],[ijkdatum]]-Tabel2[[#This Row],[Geboren]]</f>
        <v>13</v>
      </c>
      <c r="L188" s="26">
        <f>Tabel2[[#This Row],[TTL 1]]+Tabel2[[#This Row],[TTL 2]]+Tabel2[[#This Row],[TTL 3]]+Tabel2[[#This Row],[TTL 4]]+Tabel2[[#This Row],[TTL 5]]+Tabel2[[#This Row],[TTL 6]]+Tabel2[[#This Row],[TTL 7]]+Tabel2[[#This Row],[TTL 8]]+Tabel2[[#This Row],[TTL 9]]+Tabel2[[#This Row],[TTL 10]]</f>
        <v>0</v>
      </c>
      <c r="M188" s="151">
        <v>186.66666666666666</v>
      </c>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E188">
        <v>1</v>
      </c>
      <c r="BI188" s="23">
        <f>SUM(Tabel2[[#This Row],[V 8]]*10+Tabel2[[#This Row],[GT 8]])/Tabel2[[#This Row],[AW 8]]*10+Tabel2[[#This Row],[BONUS 8]]</f>
        <v>0</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8" s="22">
        <v>0</v>
      </c>
      <c r="BX188" s="30">
        <f>Tabel2[[#This Row],[Diploma]]-Tabel2[[#This Row],[Uitgeschreven]]</f>
        <v>0</v>
      </c>
      <c r="BY188" s="2" t="str">
        <f t="shared" si="23"/>
        <v>geen actie</v>
      </c>
      <c r="CA188" s="150">
        <f>Tabel2[[#This Row],[pnt t/m 2021/22]]</f>
        <v>186.66666666666666</v>
      </c>
      <c r="CB188" s="150">
        <f>Tabel2[[#This Row],[pnt 2022/2023]]</f>
        <v>0</v>
      </c>
      <c r="CC188" s="150">
        <f t="shared" si="22"/>
        <v>186.66666666666666</v>
      </c>
      <c r="CD188" s="150">
        <f>IF(Tabel2[[#This Row],[LPR 1]]&gt;0,1,0)</f>
        <v>0</v>
      </c>
      <c r="CE188" s="150">
        <f>IF(Tabel2[[#This Row],[LPR 2]]&gt;0,1,0)</f>
        <v>0</v>
      </c>
      <c r="CF188" s="150">
        <f>IF(Tabel2[[#This Row],[LPR 3]]&gt;0,1,0)</f>
        <v>0</v>
      </c>
      <c r="CG188" s="150">
        <f>IF(Tabel2[[#This Row],[LPR 4]]&gt;0,1,0)</f>
        <v>0</v>
      </c>
      <c r="CH188" s="150">
        <f>IF(Tabel2[[#This Row],[LPR 5]]&gt;0,1,0)</f>
        <v>0</v>
      </c>
      <c r="CI188" s="150">
        <f>IF(Tabel2[[#This Row],[LPR 6]]&gt;0,1,0)</f>
        <v>0</v>
      </c>
      <c r="CJ188" s="150">
        <f>IF(Tabel2[[#This Row],[LPR 7]]&gt;0,1,0)</f>
        <v>0</v>
      </c>
      <c r="CK188" s="150">
        <f>IF(Tabel2[[#This Row],[LPR 8]]&gt;0,1,0)</f>
        <v>0</v>
      </c>
      <c r="CL188" s="150">
        <f>IF(Tabel2[[#This Row],[LPR 9]]&gt;0,1,0)</f>
        <v>0</v>
      </c>
      <c r="CM188" s="150">
        <f>IF(Tabel2[[#This Row],[LPR 10]]&gt;0,1,0)</f>
        <v>0</v>
      </c>
      <c r="CN188" s="150">
        <f>SUM(Tabel7[[#This Row],[sep]:[jun]])</f>
        <v>0</v>
      </c>
      <c r="CO188" s="22" t="str">
        <f t="shared" si="17"/>
        <v/>
      </c>
      <c r="CP188" s="22" t="str">
        <f t="shared" si="18"/>
        <v/>
      </c>
      <c r="CQ188" s="22" t="str">
        <f t="shared" si="19"/>
        <v/>
      </c>
      <c r="CR188" s="22" t="str">
        <f t="shared" si="20"/>
        <v/>
      </c>
      <c r="CS188" s="22" t="str">
        <f t="shared" si="21"/>
        <v/>
      </c>
    </row>
    <row r="189" spans="1:97" x14ac:dyDescent="0.3">
      <c r="A189" s="22" t="s">
        <v>156</v>
      </c>
      <c r="B189" s="22" t="s">
        <v>149</v>
      </c>
      <c r="D189" s="22" t="s">
        <v>160</v>
      </c>
      <c r="E189" t="s">
        <v>375</v>
      </c>
      <c r="F189" s="22">
        <v>119709</v>
      </c>
      <c r="G189" s="25" t="s">
        <v>171</v>
      </c>
      <c r="H189" s="154">
        <f>Tabel2[[#This Row],[pnt t/m 2021/22]]+Tabel2[[#This Row],[pnt 2022/2023]]</f>
        <v>446.27777777777771</v>
      </c>
      <c r="I189">
        <v>2008</v>
      </c>
      <c r="J189">
        <v>2023</v>
      </c>
      <c r="K189" s="24">
        <f>Tabel2[[#This Row],[ijkdatum]]-Tabel2[[#This Row],[Geboren]]</f>
        <v>15</v>
      </c>
      <c r="L189" s="26">
        <f>Tabel2[[#This Row],[TTL 1]]+Tabel2[[#This Row],[TTL 2]]+Tabel2[[#This Row],[TTL 3]]+Tabel2[[#This Row],[TTL 4]]+Tabel2[[#This Row],[TTL 5]]+Tabel2[[#This Row],[TTL 6]]+Tabel2[[#This Row],[TTL 7]]+Tabel2[[#This Row],[TTL 8]]+Tabel2[[#This Row],[TTL 9]]+Tabel2[[#This Row],[TTL 10]]</f>
        <v>156.25</v>
      </c>
      <c r="M189" s="151">
        <v>290.02777777777771</v>
      </c>
      <c r="N189" s="31">
        <v>5</v>
      </c>
      <c r="O189">
        <v>8</v>
      </c>
      <c r="P189">
        <v>3</v>
      </c>
      <c r="Q189">
        <v>28</v>
      </c>
      <c r="S189" s="27">
        <f>SUM(Tabel2[[#This Row],[V 1]]*10+Tabel2[[#This Row],[GT 1]])/Tabel2[[#This Row],[AW 1]]*10+Tabel2[[#This Row],[BONUS 1]]</f>
        <v>72.5</v>
      </c>
      <c r="U189">
        <v>1</v>
      </c>
      <c r="Y189" s="23">
        <f>SUM(Tabel2[[#This Row],[V 2]]*10+Tabel2[[#This Row],[GT 2]])/Tabel2[[#This Row],[AW 2]]*10+Tabel2[[#This Row],[BONUS 2]]</f>
        <v>0</v>
      </c>
      <c r="Z189">
        <v>5</v>
      </c>
      <c r="AA189">
        <v>8</v>
      </c>
      <c r="AB189">
        <v>4</v>
      </c>
      <c r="AC189">
        <v>27</v>
      </c>
      <c r="AE189" s="23">
        <f>SUM(Tabel2[[#This Row],[V 3]]*10+Tabel2[[#This Row],[GT 3]])/Tabel2[[#This Row],[AW 3]]*10+Tabel2[[#This Row],[BONUS 3]]</f>
        <v>83.75</v>
      </c>
      <c r="AG189">
        <v>1</v>
      </c>
      <c r="AK189" s="23">
        <f>SUM(Tabel2[[#This Row],[V 4]]*10+Tabel2[[#This Row],[GT 4]])/Tabel2[[#This Row],[AW 4]]*10+Tabel2[[#This Row],[BONUS 4]]</f>
        <v>0</v>
      </c>
      <c r="AM189">
        <v>1</v>
      </c>
      <c r="AQ189" s="23">
        <f>SUM(Tabel2[[#This Row],[V 5]]*10+Tabel2[[#This Row],[GT 5]])/Tabel2[[#This Row],[AW 5]]*10+Tabel2[[#This Row],[BONUS 5]]</f>
        <v>0</v>
      </c>
      <c r="AS189">
        <v>1</v>
      </c>
      <c r="AW189" s="23">
        <f>SUM(Tabel2[[#This Row],[V 6]]*10+Tabel2[[#This Row],[GT 6]])/Tabel2[[#This Row],[AW 6]]*10+Tabel2[[#This Row],[BONUS 6]]</f>
        <v>0</v>
      </c>
      <c r="AY189">
        <v>1</v>
      </c>
      <c r="BC189" s="23">
        <f>SUM(Tabel2[[#This Row],[V 7]]*10+Tabel2[[#This Row],[GT 7]])/Tabel2[[#This Row],[AW 7]]*10+Tabel2[[#This Row],[BONUS 7]]</f>
        <v>0</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9" s="22">
        <v>250</v>
      </c>
      <c r="BX189" s="30">
        <f>Tabel2[[#This Row],[Diploma]]-Tabel2[[#This Row],[Uitgeschreven]]</f>
        <v>0</v>
      </c>
      <c r="BY189" s="2" t="str">
        <f t="shared" si="23"/>
        <v>geen actie</v>
      </c>
      <c r="CA189" s="150">
        <f>Tabel2[[#This Row],[pnt t/m 2021/22]]</f>
        <v>290.02777777777771</v>
      </c>
      <c r="CB189" s="150">
        <f>Tabel2[[#This Row],[pnt 2022/2023]]</f>
        <v>156.25</v>
      </c>
      <c r="CC189" s="150">
        <f t="shared" si="22"/>
        <v>446.27777777777771</v>
      </c>
      <c r="CD189" s="150">
        <f>IF(Tabel2[[#This Row],[LPR 1]]&gt;0,1,0)</f>
        <v>1</v>
      </c>
      <c r="CE189" s="150">
        <f>IF(Tabel2[[#This Row],[LPR 2]]&gt;0,1,0)</f>
        <v>0</v>
      </c>
      <c r="CF189" s="150">
        <f>IF(Tabel2[[#This Row],[LPR 3]]&gt;0,1,0)</f>
        <v>1</v>
      </c>
      <c r="CG189" s="150">
        <f>IF(Tabel2[[#This Row],[LPR 4]]&gt;0,1,0)</f>
        <v>0</v>
      </c>
      <c r="CH189" s="150">
        <f>IF(Tabel2[[#This Row],[LPR 5]]&gt;0,1,0)</f>
        <v>0</v>
      </c>
      <c r="CI189" s="150">
        <f>IF(Tabel2[[#This Row],[LPR 6]]&gt;0,1,0)</f>
        <v>0</v>
      </c>
      <c r="CJ189" s="150">
        <f>IF(Tabel2[[#This Row],[LPR 7]]&gt;0,1,0)</f>
        <v>0</v>
      </c>
      <c r="CK189" s="150">
        <f>IF(Tabel2[[#This Row],[LPR 8]]&gt;0,1,0)</f>
        <v>0</v>
      </c>
      <c r="CL189" s="150">
        <f>IF(Tabel2[[#This Row],[LPR 9]]&gt;0,1,0)</f>
        <v>0</v>
      </c>
      <c r="CM189" s="150">
        <f>IF(Tabel2[[#This Row],[LPR 10]]&gt;0,1,0)</f>
        <v>0</v>
      </c>
      <c r="CN189" s="150">
        <f>SUM(Tabel7[[#This Row],[sep]:[jun]])</f>
        <v>2</v>
      </c>
      <c r="CO189" s="22" t="str">
        <f t="shared" si="17"/>
        <v/>
      </c>
      <c r="CP189" s="22" t="str">
        <f t="shared" si="18"/>
        <v/>
      </c>
      <c r="CQ189" s="22" t="str">
        <f t="shared" si="19"/>
        <v/>
      </c>
      <c r="CR189" s="22" t="str">
        <f t="shared" si="20"/>
        <v/>
      </c>
      <c r="CS189" s="22" t="str">
        <f t="shared" si="21"/>
        <v/>
      </c>
    </row>
    <row r="190" spans="1:97" x14ac:dyDescent="0.3">
      <c r="A190" s="180" t="s">
        <v>156</v>
      </c>
      <c r="B190" s="181" t="s">
        <v>157</v>
      </c>
      <c r="C190" s="181"/>
      <c r="D190" s="181" t="s">
        <v>160</v>
      </c>
      <c r="E190" s="158" t="s">
        <v>376</v>
      </c>
      <c r="F190" s="181">
        <v>119842</v>
      </c>
      <c r="G190" s="182" t="s">
        <v>377</v>
      </c>
      <c r="H190" s="27">
        <f>Tabel2[[#This Row],[pnt t/m 2021/22]]+Tabel2[[#This Row],[pnt 2022/2023]]</f>
        <v>72.5</v>
      </c>
      <c r="I190">
        <v>2008</v>
      </c>
      <c r="J190">
        <v>2023</v>
      </c>
      <c r="K190" s="24">
        <f>Tabel2[[#This Row],[ijkdatum]]-Tabel2[[#This Row],[Geboren]]</f>
        <v>15</v>
      </c>
      <c r="L190" s="26">
        <f>Tabel2[[#This Row],[TTL 1]]+Tabel2[[#This Row],[TTL 2]]+Tabel2[[#This Row],[TTL 3]]+Tabel2[[#This Row],[TTL 4]]+Tabel2[[#This Row],[TTL 5]]+Tabel2[[#This Row],[TTL 6]]+Tabel2[[#This Row],[TTL 7]]+Tabel2[[#This Row],[TTL 8]]+Tabel2[[#This Row],[TTL 9]]+Tabel2[[#This Row],[TTL 10]]</f>
        <v>72.5</v>
      </c>
      <c r="M190" s="157"/>
      <c r="N190" s="31"/>
      <c r="O190">
        <v>1</v>
      </c>
      <c r="S190" s="157">
        <f>SUM(Tabel2[[#This Row],[V 1]]*10+Tabel2[[#This Row],[GT 1]])/Tabel2[[#This Row],[AW 1]]*10+Tabel2[[#This Row],[BONUS 1]]</f>
        <v>0</v>
      </c>
      <c r="T190">
        <v>4</v>
      </c>
      <c r="U190">
        <v>12</v>
      </c>
      <c r="V190">
        <v>4</v>
      </c>
      <c r="W190">
        <v>47</v>
      </c>
      <c r="Y190" s="153">
        <f>SUM(Tabel2[[#This Row],[V 2]]*10+Tabel2[[#This Row],[GT 2]])/Tabel2[[#This Row],[AW 2]]*10+Tabel2[[#This Row],[BONUS 2]]</f>
        <v>72.5</v>
      </c>
      <c r="AA190">
        <v>1</v>
      </c>
      <c r="AE190" s="153">
        <f>SUM(Tabel2[[#This Row],[V 3]]*10+Tabel2[[#This Row],[GT 3]])/Tabel2[[#This Row],[AW 3]]*10+Tabel2[[#This Row],[BONUS 3]]</f>
        <v>0</v>
      </c>
      <c r="AG190">
        <v>1</v>
      </c>
      <c r="AK190" s="153">
        <f>SUM(Tabel2[[#This Row],[V 4]]*10+Tabel2[[#This Row],[GT 4]])/Tabel2[[#This Row],[AW 4]]*10+Tabel2[[#This Row],[BONUS 4]]</f>
        <v>0</v>
      </c>
      <c r="AM190">
        <v>1</v>
      </c>
      <c r="AQ190" s="153">
        <f>SUM(Tabel2[[#This Row],[V 5]]*10+Tabel2[[#This Row],[GT 5]])/Tabel2[[#This Row],[AW 5]]*10+Tabel2[[#This Row],[BONUS 5]]</f>
        <v>0</v>
      </c>
      <c r="AS190">
        <v>1</v>
      </c>
      <c r="AW190" s="153">
        <f>SUM(Tabel2[[#This Row],[V 6]]*10+Tabel2[[#This Row],[GT 6]])/Tabel2[[#This Row],[AW 6]]*10+Tabel2[[#This Row],[BONUS 6]]</f>
        <v>0</v>
      </c>
      <c r="AY190">
        <v>1</v>
      </c>
      <c r="BC190" s="153">
        <f>SUM(Tabel2[[#This Row],[V 7]]*10+Tabel2[[#This Row],[GT 7]])/Tabel2[[#This Row],[AW 7]]*10+Tabel2[[#This Row],[BONUS 7]]</f>
        <v>0</v>
      </c>
      <c r="BE190">
        <v>1</v>
      </c>
      <c r="BI190" s="153">
        <f>SUM(Tabel2[[#This Row],[V 8]]*10+Tabel2[[#This Row],[GT 8]])/Tabel2[[#This Row],[AW 8]]*10+Tabel2[[#This Row],[BONUS 8]]</f>
        <v>0</v>
      </c>
      <c r="BK190">
        <v>1</v>
      </c>
      <c r="BO190" s="153">
        <f>SUM(Tabel2[[#This Row],[V 9]]*10+Tabel2[[#This Row],[GT 9]])/Tabel2[[#This Row],[AW 9]]*10+Tabel2[[#This Row],[BONUS 9]]</f>
        <v>0</v>
      </c>
      <c r="BQ190">
        <v>1</v>
      </c>
      <c r="BU190" s="23">
        <f>SUM(Tabel2[[#This Row],[V 10]]*10+Tabel2[[#This Row],[GT 10]])/Tabel2[[#This Row],[AW 10]]*10+Tabel2[[#This Row],[BONUS 10]]</f>
        <v>0</v>
      </c>
      <c r="BV19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0" s="22">
        <v>0</v>
      </c>
      <c r="BX190" s="22">
        <f>Tabel2[[#This Row],[Diploma]]-Tabel2[[#This Row],[Uitgeschreven]]</f>
        <v>0</v>
      </c>
      <c r="BY190" s="155" t="str">
        <f t="shared" si="23"/>
        <v>geen actie</v>
      </c>
      <c r="CA190" s="150">
        <f>Tabel2[[#This Row],[pnt t/m 2021/22]]</f>
        <v>0</v>
      </c>
      <c r="CB190" s="150">
        <f>Tabel2[[#This Row],[pnt 2022/2023]]</f>
        <v>72.5</v>
      </c>
      <c r="CC190" s="150">
        <f t="shared" si="22"/>
        <v>72.5</v>
      </c>
      <c r="CD190" s="150">
        <f>IF(Tabel2[[#This Row],[LPR 1]]&gt;0,1,0)</f>
        <v>0</v>
      </c>
      <c r="CE190" s="150">
        <f>IF(Tabel2[[#This Row],[LPR 2]]&gt;0,1,0)</f>
        <v>1</v>
      </c>
      <c r="CF190" s="150">
        <f>IF(Tabel2[[#This Row],[LPR 3]]&gt;0,1,0)</f>
        <v>0</v>
      </c>
      <c r="CG190" s="150">
        <f>IF(Tabel2[[#This Row],[LPR 4]]&gt;0,1,0)</f>
        <v>0</v>
      </c>
      <c r="CH190" s="150">
        <f>IF(Tabel2[[#This Row],[LPR 5]]&gt;0,1,0)</f>
        <v>0</v>
      </c>
      <c r="CI190" s="150">
        <f>IF(Tabel2[[#This Row],[LPR 6]]&gt;0,1,0)</f>
        <v>0</v>
      </c>
      <c r="CJ190" s="150">
        <f>IF(Tabel2[[#This Row],[LPR 7]]&gt;0,1,0)</f>
        <v>0</v>
      </c>
      <c r="CK190" s="150">
        <f>IF(Tabel2[[#This Row],[LPR 8]]&gt;0,1,0)</f>
        <v>0</v>
      </c>
      <c r="CL190" s="150">
        <f>IF(Tabel2[[#This Row],[LPR 9]]&gt;0,1,0)</f>
        <v>0</v>
      </c>
      <c r="CM190" s="150">
        <f>IF(Tabel2[[#This Row],[LPR 10]]&gt;0,1,0)</f>
        <v>0</v>
      </c>
      <c r="CN190" s="150">
        <f>SUM(Tabel7[[#This Row],[sep]:[jun]])</f>
        <v>1</v>
      </c>
      <c r="CO190" s="22" t="str">
        <f t="shared" si="17"/>
        <v/>
      </c>
      <c r="CP190" s="22" t="str">
        <f t="shared" si="18"/>
        <v/>
      </c>
      <c r="CQ190" s="22" t="str">
        <f t="shared" si="19"/>
        <v/>
      </c>
      <c r="CR190" s="22" t="str">
        <f t="shared" si="20"/>
        <v/>
      </c>
      <c r="CS190" s="22" t="str">
        <f t="shared" si="21"/>
        <v/>
      </c>
    </row>
    <row r="191" spans="1:97" x14ac:dyDescent="0.3">
      <c r="A191" s="22" t="s">
        <v>156</v>
      </c>
      <c r="B191" s="22" t="s">
        <v>149</v>
      </c>
      <c r="D191" s="22" t="s">
        <v>160</v>
      </c>
      <c r="E191" t="s">
        <v>378</v>
      </c>
      <c r="F191" s="22">
        <v>120111</v>
      </c>
      <c r="G191" s="25" t="s">
        <v>358</v>
      </c>
      <c r="H191" s="154">
        <f>Tabel2[[#This Row],[pnt t/m 2021/22]]+Tabel2[[#This Row],[pnt 2022/2023]]</f>
        <v>306.5</v>
      </c>
      <c r="I191">
        <v>2008</v>
      </c>
      <c r="J191">
        <v>2023</v>
      </c>
      <c r="K191" s="24">
        <f>Tabel2[[#This Row],[ijkdatum]]-Tabel2[[#This Row],[Geboren]]</f>
        <v>15</v>
      </c>
      <c r="L191" s="26">
        <f>Tabel2[[#This Row],[TTL 1]]+Tabel2[[#This Row],[TTL 2]]+Tabel2[[#This Row],[TTL 3]]+Tabel2[[#This Row],[TTL 4]]+Tabel2[[#This Row],[TTL 5]]+Tabel2[[#This Row],[TTL 6]]+Tabel2[[#This Row],[TTL 7]]+Tabel2[[#This Row],[TTL 8]]+Tabel2[[#This Row],[TTL 9]]+Tabel2[[#This Row],[TTL 10]]</f>
        <v>123.33333333333334</v>
      </c>
      <c r="M191" s="151">
        <v>183.16666666666666</v>
      </c>
      <c r="N191" s="31"/>
      <c r="O191">
        <v>1</v>
      </c>
      <c r="S191" s="27">
        <f>SUM(Tabel2[[#This Row],[V 1]]*10+Tabel2[[#This Row],[GT 1]])/Tabel2[[#This Row],[AW 1]]*10+Tabel2[[#This Row],[BONUS 1]]</f>
        <v>0</v>
      </c>
      <c r="U191">
        <v>1</v>
      </c>
      <c r="Y191" s="23">
        <f>SUM(Tabel2[[#This Row],[V 2]]*10+Tabel2[[#This Row],[GT 2]])/Tabel2[[#This Row],[AW 2]]*10+Tabel2[[#This Row],[BONUS 2]]</f>
        <v>0</v>
      </c>
      <c r="Z191">
        <v>6</v>
      </c>
      <c r="AA191">
        <v>6</v>
      </c>
      <c r="AB191">
        <v>5</v>
      </c>
      <c r="AC191">
        <v>24</v>
      </c>
      <c r="AE191" s="23">
        <f>SUM(Tabel2[[#This Row],[V 3]]*10+Tabel2[[#This Row],[GT 3]])/Tabel2[[#This Row],[AW 3]]*10+Tabel2[[#This Row],[BONUS 3]]</f>
        <v>123.33333333333334</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E191">
        <v>1</v>
      </c>
      <c r="BI191" s="23">
        <f>SUM(Tabel2[[#This Row],[V 8]]*10+Tabel2[[#This Row],[GT 8]])/Tabel2[[#This Row],[AW 8]]*10+Tabel2[[#This Row],[BONUS 8]]</f>
        <v>0</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1" s="22">
        <v>0</v>
      </c>
      <c r="BX191" s="30">
        <f>Tabel2[[#This Row],[Diploma]]-Tabel2[[#This Row],[Uitgeschreven]]</f>
        <v>250</v>
      </c>
      <c r="BY191" s="2" t="str">
        <f t="shared" si="23"/>
        <v>diploma uitschrijven: 250 punten</v>
      </c>
      <c r="CA191" s="150">
        <f>Tabel2[[#This Row],[pnt t/m 2021/22]]</f>
        <v>183.16666666666666</v>
      </c>
      <c r="CB191" s="150">
        <f>Tabel2[[#This Row],[pnt 2022/2023]]</f>
        <v>123.33333333333334</v>
      </c>
      <c r="CC191" s="150">
        <f t="shared" si="22"/>
        <v>306.5</v>
      </c>
      <c r="CD191" s="150">
        <f>IF(Tabel2[[#This Row],[LPR 1]]&gt;0,1,0)</f>
        <v>0</v>
      </c>
      <c r="CE191" s="150">
        <f>IF(Tabel2[[#This Row],[LPR 2]]&gt;0,1,0)</f>
        <v>0</v>
      </c>
      <c r="CF191" s="150">
        <f>IF(Tabel2[[#This Row],[LPR 3]]&gt;0,1,0)</f>
        <v>1</v>
      </c>
      <c r="CG191" s="150">
        <f>IF(Tabel2[[#This Row],[LPR 4]]&gt;0,1,0)</f>
        <v>0</v>
      </c>
      <c r="CH191" s="150">
        <f>IF(Tabel2[[#This Row],[LPR 5]]&gt;0,1,0)</f>
        <v>0</v>
      </c>
      <c r="CI191" s="150">
        <f>IF(Tabel2[[#This Row],[LPR 6]]&gt;0,1,0)</f>
        <v>0</v>
      </c>
      <c r="CJ191" s="150">
        <f>IF(Tabel2[[#This Row],[LPR 7]]&gt;0,1,0)</f>
        <v>0</v>
      </c>
      <c r="CK191" s="150">
        <f>IF(Tabel2[[#This Row],[LPR 8]]&gt;0,1,0)</f>
        <v>0</v>
      </c>
      <c r="CL191" s="150">
        <f>IF(Tabel2[[#This Row],[LPR 9]]&gt;0,1,0)</f>
        <v>0</v>
      </c>
      <c r="CM191" s="150">
        <f>IF(Tabel2[[#This Row],[LPR 10]]&gt;0,1,0)</f>
        <v>0</v>
      </c>
      <c r="CN191" s="150">
        <f>SUM(Tabel7[[#This Row],[sep]:[jun]])</f>
        <v>1</v>
      </c>
      <c r="CO191" s="22" t="str">
        <f t="shared" si="17"/>
        <v/>
      </c>
      <c r="CP191" s="22" t="str">
        <f t="shared" si="18"/>
        <v/>
      </c>
      <c r="CQ191" s="22" t="str">
        <f t="shared" si="19"/>
        <v/>
      </c>
      <c r="CR191" s="22" t="str">
        <f t="shared" si="20"/>
        <v/>
      </c>
      <c r="CS191" s="22" t="str">
        <f t="shared" si="21"/>
        <v/>
      </c>
    </row>
    <row r="192" spans="1:97" x14ac:dyDescent="0.3">
      <c r="A192" s="22" t="s">
        <v>190</v>
      </c>
      <c r="B192" s="22" t="s">
        <v>149</v>
      </c>
      <c r="D192" s="22" t="s">
        <v>160</v>
      </c>
      <c r="E192" t="s">
        <v>379</v>
      </c>
      <c r="F192" s="22">
        <v>120118</v>
      </c>
      <c r="G192" s="25" t="s">
        <v>380</v>
      </c>
      <c r="H192" s="154">
        <f>Tabel2[[#This Row],[pnt t/m 2021/22]]+Tabel2[[#This Row],[pnt 2022/2023]]</f>
        <v>107.64705882352941</v>
      </c>
      <c r="I192">
        <v>2013</v>
      </c>
      <c r="J192">
        <v>2023</v>
      </c>
      <c r="K192" s="24">
        <f>Tabel2[[#This Row],[ijkdatum]]-Tabel2[[#This Row],[Geboren]]</f>
        <v>10</v>
      </c>
      <c r="L192" s="26">
        <f>Tabel2[[#This Row],[TTL 1]]+Tabel2[[#This Row],[TTL 2]]+Tabel2[[#This Row],[TTL 3]]+Tabel2[[#This Row],[TTL 4]]+Tabel2[[#This Row],[TTL 5]]+Tabel2[[#This Row],[TTL 6]]+Tabel2[[#This Row],[TTL 7]]+Tabel2[[#This Row],[TTL 8]]+Tabel2[[#This Row],[TTL 9]]+Tabel2[[#This Row],[TTL 10]]</f>
        <v>107.64705882352941</v>
      </c>
      <c r="M192" s="151"/>
      <c r="N192" s="31"/>
      <c r="O192">
        <v>1</v>
      </c>
      <c r="S192" s="27">
        <f>SUM(Tabel2[[#This Row],[V 1]]*10+Tabel2[[#This Row],[GT 1]])/Tabel2[[#This Row],[AW 1]]*10+Tabel2[[#This Row],[BONUS 1]]</f>
        <v>0</v>
      </c>
      <c r="U192">
        <v>1</v>
      </c>
      <c r="Y192" s="23">
        <f>SUM(Tabel2[[#This Row],[V 2]]*10+Tabel2[[#This Row],[GT 2]])/Tabel2[[#This Row],[AW 2]]*10+Tabel2[[#This Row],[BONUS 2]]</f>
        <v>0</v>
      </c>
      <c r="Z192">
        <v>9</v>
      </c>
      <c r="AA192">
        <v>17</v>
      </c>
      <c r="AB192">
        <v>0</v>
      </c>
      <c r="AC192">
        <v>13</v>
      </c>
      <c r="AD192">
        <v>100</v>
      </c>
      <c r="AE192" s="23">
        <f>SUM(Tabel2[[#This Row],[V 3]]*10+Tabel2[[#This Row],[GT 3]])/Tabel2[[#This Row],[AW 3]]*10+Tabel2[[#This Row],[BONUS 3]]</f>
        <v>107.64705882352941</v>
      </c>
      <c r="AG192">
        <v>1</v>
      </c>
      <c r="AK192" s="23">
        <f>SUM(Tabel2[[#This Row],[V 4]]*10+Tabel2[[#This Row],[GT 4]])/Tabel2[[#This Row],[AW 4]]*10+Tabel2[[#This Row],[BONUS 4]]</f>
        <v>0</v>
      </c>
      <c r="AM192">
        <v>1</v>
      </c>
      <c r="AQ192" s="23">
        <f>SUM(Tabel2[[#This Row],[V 5]]*10+Tabel2[[#This Row],[GT 5]])/Tabel2[[#This Row],[AW 5]]*10+Tabel2[[#This Row],[BONUS 5]]</f>
        <v>0</v>
      </c>
      <c r="AS192">
        <v>1</v>
      </c>
      <c r="AW192" s="23">
        <f>SUM(Tabel2[[#This Row],[V 6]]*10+Tabel2[[#This Row],[GT 6]])/Tabel2[[#This Row],[AW 6]]*10+Tabel2[[#This Row],[BONUS 6]]</f>
        <v>0</v>
      </c>
      <c r="AY192">
        <v>1</v>
      </c>
      <c r="BC192" s="23">
        <f>SUM(Tabel2[[#This Row],[V 7]]*10+Tabel2[[#This Row],[GT 7]])/Tabel2[[#This Row],[AW 7]]*10+Tabel2[[#This Row],[BONUS 7]]</f>
        <v>0</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2" s="22">
        <v>0</v>
      </c>
      <c r="BX192" s="30">
        <f>Tabel2[[#This Row],[Diploma]]-Tabel2[[#This Row],[Uitgeschreven]]</f>
        <v>0</v>
      </c>
      <c r="BY192" s="2" t="str">
        <f t="shared" si="23"/>
        <v>geen actie</v>
      </c>
      <c r="CA192" s="150">
        <f>Tabel2[[#This Row],[pnt t/m 2021/22]]</f>
        <v>0</v>
      </c>
      <c r="CB192" s="150">
        <f>Tabel2[[#This Row],[pnt 2022/2023]]</f>
        <v>107.64705882352941</v>
      </c>
      <c r="CC192" s="150">
        <f t="shared" si="22"/>
        <v>107.64705882352941</v>
      </c>
      <c r="CD192" s="150">
        <f>IF(Tabel2[[#This Row],[LPR 1]]&gt;0,1,0)</f>
        <v>0</v>
      </c>
      <c r="CE192" s="150">
        <f>IF(Tabel2[[#This Row],[LPR 2]]&gt;0,1,0)</f>
        <v>0</v>
      </c>
      <c r="CF192" s="150">
        <f>IF(Tabel2[[#This Row],[LPR 3]]&gt;0,1,0)</f>
        <v>1</v>
      </c>
      <c r="CG192" s="150">
        <f>IF(Tabel2[[#This Row],[LPR 4]]&gt;0,1,0)</f>
        <v>0</v>
      </c>
      <c r="CH192" s="150">
        <f>IF(Tabel2[[#This Row],[LPR 5]]&gt;0,1,0)</f>
        <v>0</v>
      </c>
      <c r="CI192" s="150">
        <f>IF(Tabel2[[#This Row],[LPR 6]]&gt;0,1,0)</f>
        <v>0</v>
      </c>
      <c r="CJ192" s="150">
        <f>IF(Tabel2[[#This Row],[LPR 7]]&gt;0,1,0)</f>
        <v>0</v>
      </c>
      <c r="CK192" s="150">
        <f>IF(Tabel2[[#This Row],[LPR 8]]&gt;0,1,0)</f>
        <v>0</v>
      </c>
      <c r="CL192" s="150">
        <f>IF(Tabel2[[#This Row],[LPR 9]]&gt;0,1,0)</f>
        <v>0</v>
      </c>
      <c r="CM192" s="150">
        <f>IF(Tabel2[[#This Row],[LPR 10]]&gt;0,1,0)</f>
        <v>0</v>
      </c>
      <c r="CN192" s="150">
        <f>SUM(Tabel7[[#This Row],[sep]:[jun]])</f>
        <v>1</v>
      </c>
      <c r="CO192" s="22" t="str">
        <f t="shared" si="17"/>
        <v/>
      </c>
      <c r="CP192" s="22" t="str">
        <f t="shared" si="18"/>
        <v/>
      </c>
      <c r="CQ192" s="22" t="str">
        <f t="shared" si="19"/>
        <v/>
      </c>
      <c r="CR192" s="22" t="str">
        <f t="shared" si="20"/>
        <v/>
      </c>
      <c r="CS192" s="22" t="str">
        <f t="shared" si="21"/>
        <v/>
      </c>
    </row>
    <row r="193" spans="1:97" x14ac:dyDescent="0.3">
      <c r="A193" s="22" t="s">
        <v>173</v>
      </c>
      <c r="B193" s="22" t="s">
        <v>149</v>
      </c>
      <c r="D193" s="22" t="s">
        <v>150</v>
      </c>
      <c r="E193" t="s">
        <v>381</v>
      </c>
      <c r="F193" s="22">
        <v>119318</v>
      </c>
      <c r="G193" s="25" t="s">
        <v>152</v>
      </c>
      <c r="H193" s="154">
        <f>Tabel2[[#This Row],[pnt t/m 2021/22]]+Tabel2[[#This Row],[pnt 2022/2023]]</f>
        <v>1727.5270562770563</v>
      </c>
      <c r="I193">
        <v>2012</v>
      </c>
      <c r="J193">
        <v>2023</v>
      </c>
      <c r="K193" s="24">
        <f>Tabel2[[#This Row],[ijkdatum]]-Tabel2[[#This Row],[Geboren]]</f>
        <v>11</v>
      </c>
      <c r="L193" s="26">
        <f>Tabel2[[#This Row],[TTL 1]]+Tabel2[[#This Row],[TTL 2]]+Tabel2[[#This Row],[TTL 3]]+Tabel2[[#This Row],[TTL 4]]+Tabel2[[#This Row],[TTL 5]]+Tabel2[[#This Row],[TTL 6]]+Tabel2[[#This Row],[TTL 7]]+Tabel2[[#This Row],[TTL 8]]+Tabel2[[#This Row],[TTL 9]]+Tabel2[[#This Row],[TTL 10]]</f>
        <v>298.18181818181819</v>
      </c>
      <c r="M193" s="151">
        <v>1429.3452380952381</v>
      </c>
      <c r="N193" s="31">
        <v>4</v>
      </c>
      <c r="O193">
        <v>9</v>
      </c>
      <c r="P193">
        <v>9</v>
      </c>
      <c r="Q193">
        <v>45</v>
      </c>
      <c r="S193" s="27">
        <f>SUM(Tabel2[[#This Row],[V 1]]*10+Tabel2[[#This Row],[GT 1]])/Tabel2[[#This Row],[AW 1]]*10+Tabel2[[#This Row],[BONUS 1]]</f>
        <v>150</v>
      </c>
      <c r="U193">
        <v>1</v>
      </c>
      <c r="Y193" s="23">
        <f>SUM(Tabel2[[#This Row],[V 2]]*10+Tabel2[[#This Row],[GT 2]])/Tabel2[[#This Row],[AW 2]]*10+Tabel2[[#This Row],[BONUS 2]]</f>
        <v>0</v>
      </c>
      <c r="Z193">
        <v>3</v>
      </c>
      <c r="AA193">
        <v>11</v>
      </c>
      <c r="AB193">
        <v>11</v>
      </c>
      <c r="AC193">
        <v>53</v>
      </c>
      <c r="AE193" s="23">
        <f>SUM(Tabel2[[#This Row],[V 3]]*10+Tabel2[[#This Row],[GT 3]])/Tabel2[[#This Row],[AW 3]]*10+Tabel2[[#This Row],[BONUS 3]]</f>
        <v>148.18181818181819</v>
      </c>
      <c r="AG193">
        <v>1</v>
      </c>
      <c r="AK193" s="23">
        <f>SUM(Tabel2[[#This Row],[V 4]]*10+Tabel2[[#This Row],[GT 4]])/Tabel2[[#This Row],[AW 4]]*10+Tabel2[[#This Row],[BONUS 4]]</f>
        <v>0</v>
      </c>
      <c r="AM193">
        <v>1</v>
      </c>
      <c r="AQ193" s="23">
        <f>SUM(Tabel2[[#This Row],[V 5]]*10+Tabel2[[#This Row],[GT 5]])/Tabel2[[#This Row],[AW 5]]*10+Tabel2[[#This Row],[BONUS 5]]</f>
        <v>0</v>
      </c>
      <c r="AS193">
        <v>1</v>
      </c>
      <c r="AW193" s="23">
        <f>SUM(Tabel2[[#This Row],[V 6]]*10+Tabel2[[#This Row],[GT 6]])/Tabel2[[#This Row],[AW 6]]*10+Tabel2[[#This Row],[BONUS 6]]</f>
        <v>0</v>
      </c>
      <c r="AY193">
        <v>1</v>
      </c>
      <c r="BC193" s="23">
        <f>SUM(Tabel2[[#This Row],[V 7]]*10+Tabel2[[#This Row],[GT 7]])/Tabel2[[#This Row],[AW 7]]*10+Tabel2[[#This Row],[BONUS 7]]</f>
        <v>0</v>
      </c>
      <c r="BE193">
        <v>1</v>
      </c>
      <c r="BI193" s="23">
        <f>SUM(Tabel2[[#This Row],[V 8]]*10+Tabel2[[#This Row],[GT 8]])/Tabel2[[#This Row],[AW 8]]*10+Tabel2[[#This Row],[BONUS 8]]</f>
        <v>0</v>
      </c>
      <c r="BK193">
        <v>1</v>
      </c>
      <c r="BO193" s="23">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93" s="22">
        <v>1500</v>
      </c>
      <c r="BX193" s="30">
        <f>Tabel2[[#This Row],[Diploma]]-Tabel2[[#This Row],[Uitgeschreven]]</f>
        <v>0</v>
      </c>
      <c r="BY193" s="2" t="str">
        <f t="shared" si="23"/>
        <v>geen actie</v>
      </c>
      <c r="CA193" s="150">
        <f>Tabel2[[#This Row],[pnt t/m 2021/22]]</f>
        <v>1429.3452380952381</v>
      </c>
      <c r="CB193" s="150">
        <f>Tabel2[[#This Row],[pnt 2022/2023]]</f>
        <v>298.18181818181819</v>
      </c>
      <c r="CC193" s="150">
        <f t="shared" si="22"/>
        <v>1727.5270562770563</v>
      </c>
      <c r="CD193" s="150">
        <f>IF(Tabel2[[#This Row],[LPR 1]]&gt;0,1,0)</f>
        <v>1</v>
      </c>
      <c r="CE193" s="150">
        <f>IF(Tabel2[[#This Row],[LPR 2]]&gt;0,1,0)</f>
        <v>0</v>
      </c>
      <c r="CF193" s="150">
        <f>IF(Tabel2[[#This Row],[LPR 3]]&gt;0,1,0)</f>
        <v>1</v>
      </c>
      <c r="CG193" s="150">
        <f>IF(Tabel2[[#This Row],[LPR 4]]&gt;0,1,0)</f>
        <v>0</v>
      </c>
      <c r="CH193" s="150">
        <f>IF(Tabel2[[#This Row],[LPR 5]]&gt;0,1,0)</f>
        <v>0</v>
      </c>
      <c r="CI193" s="150">
        <f>IF(Tabel2[[#This Row],[LPR 6]]&gt;0,1,0)</f>
        <v>0</v>
      </c>
      <c r="CJ193" s="150">
        <f>IF(Tabel2[[#This Row],[LPR 7]]&gt;0,1,0)</f>
        <v>0</v>
      </c>
      <c r="CK193" s="150">
        <f>IF(Tabel2[[#This Row],[LPR 8]]&gt;0,1,0)</f>
        <v>0</v>
      </c>
      <c r="CL193" s="150">
        <f>IF(Tabel2[[#This Row],[LPR 9]]&gt;0,1,0)</f>
        <v>0</v>
      </c>
      <c r="CM193" s="150">
        <f>IF(Tabel2[[#This Row],[LPR 10]]&gt;0,1,0)</f>
        <v>0</v>
      </c>
      <c r="CN193" s="150">
        <f>SUM(Tabel7[[#This Row],[sep]:[jun]])</f>
        <v>2</v>
      </c>
      <c r="CO193" s="22" t="str">
        <f t="shared" si="17"/>
        <v/>
      </c>
      <c r="CP193" s="22" t="str">
        <f t="shared" si="18"/>
        <v>x</v>
      </c>
      <c r="CQ193" s="22" t="str">
        <f t="shared" si="19"/>
        <v/>
      </c>
      <c r="CR193" s="22" t="str">
        <f t="shared" si="20"/>
        <v/>
      </c>
      <c r="CS193" s="22" t="str">
        <f t="shared" si="21"/>
        <v/>
      </c>
    </row>
    <row r="194" spans="1:97" x14ac:dyDescent="0.3">
      <c r="A194" s="22" t="s">
        <v>153</v>
      </c>
      <c r="B194" s="22" t="s">
        <v>149</v>
      </c>
      <c r="D194" s="22" t="s">
        <v>150</v>
      </c>
      <c r="E194" t="s">
        <v>382</v>
      </c>
      <c r="F194" s="22">
        <v>120727</v>
      </c>
      <c r="G194" s="25" t="s">
        <v>171</v>
      </c>
      <c r="H194" s="27">
        <f>Tabel2[[#This Row],[pnt t/m 2021/22]]+Tabel2[[#This Row],[pnt 2022/2023]]</f>
        <v>145.8095238095238</v>
      </c>
      <c r="I194">
        <v>2011</v>
      </c>
      <c r="J194">
        <v>2023</v>
      </c>
      <c r="K194" s="24">
        <f>Tabel2[[#This Row],[ijkdatum]]-Tabel2[[#This Row],[Geboren]]</f>
        <v>12</v>
      </c>
      <c r="L194" s="26">
        <f>Tabel2[[#This Row],[TTL 1]]+Tabel2[[#This Row],[TTL 2]]+Tabel2[[#This Row],[TTL 3]]+Tabel2[[#This Row],[TTL 4]]+Tabel2[[#This Row],[TTL 5]]+Tabel2[[#This Row],[TTL 6]]+Tabel2[[#This Row],[TTL 7]]+Tabel2[[#This Row],[TTL 8]]+Tabel2[[#This Row],[TTL 9]]+Tabel2[[#This Row],[TTL 10]]</f>
        <v>41.142857142857146</v>
      </c>
      <c r="M194" s="157">
        <v>104.66666666666666</v>
      </c>
      <c r="N194" s="31"/>
      <c r="O194">
        <v>1</v>
      </c>
      <c r="S194" s="157">
        <f>SUM(Tabel2[[#This Row],[V 1]]*10+Tabel2[[#This Row],[GT 1]])/Tabel2[[#This Row],[AW 1]]*10+Tabel2[[#This Row],[BONUS 1]]</f>
        <v>0</v>
      </c>
      <c r="T194">
        <v>7</v>
      </c>
      <c r="U194">
        <v>7</v>
      </c>
      <c r="V194">
        <v>1</v>
      </c>
      <c r="W194">
        <v>9</v>
      </c>
      <c r="Y194" s="153">
        <f>SUM(Tabel2[[#This Row],[V 2]]*10+Tabel2[[#This Row],[GT 2]])/Tabel2[[#This Row],[AW 2]]*10+Tabel2[[#This Row],[BONUS 2]]</f>
        <v>27.142857142857146</v>
      </c>
      <c r="Z194">
        <v>7</v>
      </c>
      <c r="AA194">
        <v>5</v>
      </c>
      <c r="AB194">
        <v>0</v>
      </c>
      <c r="AC194">
        <v>7</v>
      </c>
      <c r="AE194" s="23">
        <f>SUM(Tabel2[[#This Row],[V 3]]*10+Tabel2[[#This Row],[GT 3]])/Tabel2[[#This Row],[AW 3]]*10+Tabel2[[#This Row],[BONUS 3]]</f>
        <v>14</v>
      </c>
      <c r="AG194">
        <v>1</v>
      </c>
      <c r="AK194" s="153">
        <f>SUM(Tabel2[[#This Row],[V 4]]*10+Tabel2[[#This Row],[GT 4]])/Tabel2[[#This Row],[AW 4]]*10+Tabel2[[#This Row],[BONUS 4]]</f>
        <v>0</v>
      </c>
      <c r="AM194">
        <v>1</v>
      </c>
      <c r="AQ194" s="153">
        <f>SUM(Tabel2[[#This Row],[V 5]]*10+Tabel2[[#This Row],[GT 5]])/Tabel2[[#This Row],[AW 5]]*10+Tabel2[[#This Row],[BONUS 5]]</f>
        <v>0</v>
      </c>
      <c r="AS194">
        <v>1</v>
      </c>
      <c r="AW194" s="153">
        <f>SUM(Tabel2[[#This Row],[V 6]]*10+Tabel2[[#This Row],[GT 6]])/Tabel2[[#This Row],[AW 6]]*10+Tabel2[[#This Row],[BONUS 6]]</f>
        <v>0</v>
      </c>
      <c r="AY194">
        <v>1</v>
      </c>
      <c r="BC194" s="153">
        <f>SUM(Tabel2[[#This Row],[V 7]]*10+Tabel2[[#This Row],[GT 7]])/Tabel2[[#This Row],[AW 7]]*10+Tabel2[[#This Row],[BONUS 7]]</f>
        <v>0</v>
      </c>
      <c r="BE194">
        <v>1</v>
      </c>
      <c r="BI194" s="153">
        <f>SUM(Tabel2[[#This Row],[V 8]]*10+Tabel2[[#This Row],[GT 8]])/Tabel2[[#This Row],[AW 8]]*10+Tabel2[[#This Row],[BONUS 8]]</f>
        <v>0</v>
      </c>
      <c r="BK194">
        <v>1</v>
      </c>
      <c r="BO194" s="153">
        <f>SUM(Tabel2[[#This Row],[V 9]]*10+Tabel2[[#This Row],[GT 9]])/Tabel2[[#This Row],[AW 9]]*10+Tabel2[[#This Row],[BONUS 9]]</f>
        <v>0</v>
      </c>
      <c r="BQ194">
        <v>1</v>
      </c>
      <c r="BU194" s="23">
        <f>SUM(Tabel2[[#This Row],[V 10]]*10+Tabel2[[#This Row],[GT 10]])/Tabel2[[#This Row],[AW 10]]*10+Tabel2[[#This Row],[BONUS 10]]</f>
        <v>0</v>
      </c>
      <c r="BV1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4" s="22">
        <v>0</v>
      </c>
      <c r="BX194" s="22">
        <f>Tabel2[[#This Row],[Diploma]]-Tabel2[[#This Row],[Uitgeschreven]]</f>
        <v>0</v>
      </c>
      <c r="BY194" s="155" t="str">
        <f t="shared" si="23"/>
        <v>geen actie</v>
      </c>
      <c r="CA194" s="150">
        <f>Tabel2[[#This Row],[pnt t/m 2021/22]]</f>
        <v>104.66666666666666</v>
      </c>
      <c r="CB194" s="150">
        <f>Tabel2[[#This Row],[pnt 2022/2023]]</f>
        <v>41.142857142857146</v>
      </c>
      <c r="CC194" s="150">
        <f t="shared" si="22"/>
        <v>145.8095238095238</v>
      </c>
      <c r="CD194" s="150">
        <f>IF(Tabel2[[#This Row],[LPR 1]]&gt;0,1,0)</f>
        <v>0</v>
      </c>
      <c r="CE194" s="150">
        <f>IF(Tabel2[[#This Row],[LPR 2]]&gt;0,1,0)</f>
        <v>1</v>
      </c>
      <c r="CF194" s="150">
        <f>IF(Tabel2[[#This Row],[LPR 3]]&gt;0,1,0)</f>
        <v>1</v>
      </c>
      <c r="CG194" s="150">
        <f>IF(Tabel2[[#This Row],[LPR 4]]&gt;0,1,0)</f>
        <v>0</v>
      </c>
      <c r="CH194" s="150">
        <f>IF(Tabel2[[#This Row],[LPR 5]]&gt;0,1,0)</f>
        <v>0</v>
      </c>
      <c r="CI194" s="150">
        <f>IF(Tabel2[[#This Row],[LPR 6]]&gt;0,1,0)</f>
        <v>0</v>
      </c>
      <c r="CJ194" s="150">
        <f>IF(Tabel2[[#This Row],[LPR 7]]&gt;0,1,0)</f>
        <v>0</v>
      </c>
      <c r="CK194" s="150">
        <f>IF(Tabel2[[#This Row],[LPR 8]]&gt;0,1,0)</f>
        <v>0</v>
      </c>
      <c r="CL194" s="150">
        <f>IF(Tabel2[[#This Row],[LPR 9]]&gt;0,1,0)</f>
        <v>0</v>
      </c>
      <c r="CM194" s="150">
        <f>IF(Tabel2[[#This Row],[LPR 10]]&gt;0,1,0)</f>
        <v>0</v>
      </c>
      <c r="CN194" s="150">
        <f>SUM(Tabel7[[#This Row],[sep]:[jun]])</f>
        <v>2</v>
      </c>
      <c r="CO194" s="22" t="str">
        <f t="shared" si="17"/>
        <v/>
      </c>
      <c r="CP194" s="22" t="str">
        <f t="shared" si="18"/>
        <v/>
      </c>
      <c r="CQ194" s="22" t="str">
        <f t="shared" si="19"/>
        <v/>
      </c>
      <c r="CR194" s="22" t="str">
        <f t="shared" si="20"/>
        <v/>
      </c>
      <c r="CS194" s="22" t="str">
        <f t="shared" si="21"/>
        <v/>
      </c>
    </row>
    <row r="195" spans="1:97" x14ac:dyDescent="0.3">
      <c r="A195" s="22" t="s">
        <v>159</v>
      </c>
      <c r="B195" s="22" t="s">
        <v>157</v>
      </c>
      <c r="D195" s="22" t="s">
        <v>163</v>
      </c>
      <c r="E195" t="s">
        <v>383</v>
      </c>
      <c r="F195" s="22">
        <v>120309</v>
      </c>
      <c r="G195" s="25" t="s">
        <v>201</v>
      </c>
      <c r="H195" s="27">
        <f>Tabel2[[#This Row],[pnt t/m 2021/22]]+Tabel2[[#This Row],[pnt 2022/2023]]</f>
        <v>203.78571428571428</v>
      </c>
      <c r="I195">
        <v>2010</v>
      </c>
      <c r="J195">
        <v>2023</v>
      </c>
      <c r="K195" s="24">
        <f>Tabel2[[#This Row],[ijkdatum]]-Tabel2[[#This Row],[Geboren]]</f>
        <v>13</v>
      </c>
      <c r="L195" s="26">
        <f>Tabel2[[#This Row],[TTL 1]]+Tabel2[[#This Row],[TTL 2]]+Tabel2[[#This Row],[TTL 3]]+Tabel2[[#This Row],[TTL 4]]+Tabel2[[#This Row],[TTL 5]]+Tabel2[[#This Row],[TTL 6]]+Tabel2[[#This Row],[TTL 7]]+Tabel2[[#This Row],[TTL 8]]+Tabel2[[#This Row],[TTL 9]]+Tabel2[[#This Row],[TTL 10]]</f>
        <v>0</v>
      </c>
      <c r="M195" s="157">
        <v>203.78571428571428</v>
      </c>
      <c r="N195" s="31"/>
      <c r="O195">
        <v>1</v>
      </c>
      <c r="S195" s="157">
        <f>SUM(Tabel2[[#This Row],[V 1]]*10+Tabel2[[#This Row],[GT 1]])/Tabel2[[#This Row],[AW 1]]*10+Tabel2[[#This Row],[BONUS 1]]</f>
        <v>0</v>
      </c>
      <c r="U195">
        <v>1</v>
      </c>
      <c r="Y195" s="153">
        <f>SUM(Tabel2[[#This Row],[V 2]]*10+Tabel2[[#This Row],[GT 2]])/Tabel2[[#This Row],[AW 2]]*10+Tabel2[[#This Row],[BONUS 2]]</f>
        <v>0</v>
      </c>
      <c r="AA195">
        <v>1</v>
      </c>
      <c r="AE195" s="153">
        <f>SUM(Tabel2[[#This Row],[V 3]]*10+Tabel2[[#This Row],[GT 3]])/Tabel2[[#This Row],[AW 3]]*10+Tabel2[[#This Row],[BONUS 3]]</f>
        <v>0</v>
      </c>
      <c r="AG195">
        <v>1</v>
      </c>
      <c r="AK195" s="153">
        <f>SUM(Tabel2[[#This Row],[V 4]]*10+Tabel2[[#This Row],[GT 4]])/Tabel2[[#This Row],[AW 4]]*10+Tabel2[[#This Row],[BONUS 4]]</f>
        <v>0</v>
      </c>
      <c r="AM195">
        <v>1</v>
      </c>
      <c r="AQ195" s="153">
        <f>SUM(Tabel2[[#This Row],[V 5]]*10+Tabel2[[#This Row],[GT 5]])/Tabel2[[#This Row],[AW 5]]*10+Tabel2[[#This Row],[BONUS 5]]</f>
        <v>0</v>
      </c>
      <c r="AS195">
        <v>1</v>
      </c>
      <c r="AW195" s="153">
        <f>SUM(Tabel2[[#This Row],[V 6]]*10+Tabel2[[#This Row],[GT 6]])/Tabel2[[#This Row],[AW 6]]*10+Tabel2[[#This Row],[BONUS 6]]</f>
        <v>0</v>
      </c>
      <c r="AY195">
        <v>1</v>
      </c>
      <c r="BC195" s="23">
        <f>SUM(Tabel2[[#This Row],[V 7]]*10+Tabel2[[#This Row],[GT 7]])/Tabel2[[#This Row],[AW 7]]*10+Tabel2[[#This Row],[BONUS 7]]</f>
        <v>0</v>
      </c>
      <c r="BE195">
        <v>1</v>
      </c>
      <c r="BI195" s="23">
        <f>SUM(Tabel2[[#This Row],[V 8]]*10+Tabel2[[#This Row],[GT 8]])/Tabel2[[#This Row],[AW 8]]*10+Tabel2[[#This Row],[BONUS 8]]</f>
        <v>0</v>
      </c>
      <c r="BK195">
        <v>1</v>
      </c>
      <c r="BO195" s="153">
        <f>SUM(Tabel2[[#This Row],[V 9]]*10+Tabel2[[#This Row],[GT 9]])/Tabel2[[#This Row],[AW 9]]*10+Tabel2[[#This Row],[BONUS 9]]</f>
        <v>0</v>
      </c>
      <c r="BQ195">
        <v>1</v>
      </c>
      <c r="BU195" s="23">
        <f>SUM(Tabel2[[#This Row],[V 10]]*10+Tabel2[[#This Row],[GT 10]])/Tabel2[[#This Row],[AW 10]]*10+Tabel2[[#This Row],[BONUS 10]]</f>
        <v>0</v>
      </c>
      <c r="BV19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5" s="22">
        <v>0</v>
      </c>
      <c r="BX195" s="22">
        <f>Tabel2[[#This Row],[Diploma]]-Tabel2[[#This Row],[Uitgeschreven]]</f>
        <v>0</v>
      </c>
      <c r="BY195" s="155" t="str">
        <f t="shared" si="23"/>
        <v>geen actie</v>
      </c>
      <c r="CA195" s="150">
        <f>Tabel2[[#This Row],[pnt t/m 2021/22]]</f>
        <v>203.78571428571428</v>
      </c>
      <c r="CB195" s="150">
        <f>Tabel2[[#This Row],[pnt 2022/2023]]</f>
        <v>0</v>
      </c>
      <c r="CC195" s="150">
        <f t="shared" si="22"/>
        <v>203.78571428571428</v>
      </c>
      <c r="CD195" s="150">
        <f>IF(Tabel2[[#This Row],[LPR 1]]&gt;0,1,0)</f>
        <v>0</v>
      </c>
      <c r="CE195" s="150">
        <f>IF(Tabel2[[#This Row],[LPR 2]]&gt;0,1,0)</f>
        <v>0</v>
      </c>
      <c r="CF195" s="150">
        <f>IF(Tabel2[[#This Row],[LPR 3]]&gt;0,1,0)</f>
        <v>0</v>
      </c>
      <c r="CG195" s="150">
        <f>IF(Tabel2[[#This Row],[LPR 4]]&gt;0,1,0)</f>
        <v>0</v>
      </c>
      <c r="CH195" s="150">
        <f>IF(Tabel2[[#This Row],[LPR 5]]&gt;0,1,0)</f>
        <v>0</v>
      </c>
      <c r="CI195" s="150">
        <f>IF(Tabel2[[#This Row],[LPR 6]]&gt;0,1,0)</f>
        <v>0</v>
      </c>
      <c r="CJ195" s="150">
        <f>IF(Tabel2[[#This Row],[LPR 7]]&gt;0,1,0)</f>
        <v>0</v>
      </c>
      <c r="CK195" s="150">
        <f>IF(Tabel2[[#This Row],[LPR 8]]&gt;0,1,0)</f>
        <v>0</v>
      </c>
      <c r="CL195" s="150">
        <f>IF(Tabel2[[#This Row],[LPR 9]]&gt;0,1,0)</f>
        <v>0</v>
      </c>
      <c r="CM195" s="150">
        <f>IF(Tabel2[[#This Row],[LPR 10]]&gt;0,1,0)</f>
        <v>0</v>
      </c>
      <c r="CN195" s="150">
        <f>SUM(Tabel7[[#This Row],[sep]:[jun]])</f>
        <v>0</v>
      </c>
      <c r="CO195" s="22" t="str">
        <f t="shared" si="17"/>
        <v/>
      </c>
      <c r="CP195" s="22" t="str">
        <f t="shared" si="18"/>
        <v/>
      </c>
      <c r="CQ195" s="22" t="str">
        <f t="shared" si="19"/>
        <v/>
      </c>
      <c r="CR195" s="22" t="str">
        <f t="shared" si="20"/>
        <v/>
      </c>
      <c r="CS195" s="22" t="str">
        <f t="shared" si="21"/>
        <v/>
      </c>
    </row>
    <row r="196" spans="1:97" x14ac:dyDescent="0.3">
      <c r="A196" s="22" t="s">
        <v>173</v>
      </c>
      <c r="B196" s="22" t="s">
        <v>149</v>
      </c>
      <c r="D196" s="22" t="s">
        <v>163</v>
      </c>
      <c r="E196" t="s">
        <v>384</v>
      </c>
      <c r="F196" s="22">
        <v>120752</v>
      </c>
      <c r="G196" s="25" t="s">
        <v>213</v>
      </c>
      <c r="H196" s="154">
        <f>Tabel2[[#This Row],[pnt t/m 2021/22]]+Tabel2[[#This Row],[pnt 2022/2023]]</f>
        <v>0</v>
      </c>
      <c r="I196">
        <v>2013</v>
      </c>
      <c r="J196">
        <v>2023</v>
      </c>
      <c r="K196" s="24">
        <f>Tabel2[[#This Row],[ijkdatum]]-Tabel2[[#This Row],[Geboren]]</f>
        <v>10</v>
      </c>
      <c r="L196" s="26">
        <f>Tabel2[[#This Row],[TTL 1]]+Tabel2[[#This Row],[TTL 2]]+Tabel2[[#This Row],[TTL 3]]+Tabel2[[#This Row],[TTL 4]]+Tabel2[[#This Row],[TTL 5]]+Tabel2[[#This Row],[TTL 6]]+Tabel2[[#This Row],[TTL 7]]+Tabel2[[#This Row],[TTL 8]]+Tabel2[[#This Row],[TTL 9]]+Tabel2[[#This Row],[TTL 10]]</f>
        <v>0</v>
      </c>
      <c r="M196" s="151"/>
      <c r="N196" s="31"/>
      <c r="O196">
        <v>1</v>
      </c>
      <c r="S196" s="27">
        <f>SUM(Tabel2[[#This Row],[V 1]]*10+Tabel2[[#This Row],[GT 1]])/Tabel2[[#This Row],[AW 1]]*10+Tabel2[[#This Row],[BONUS 1]]</f>
        <v>0</v>
      </c>
      <c r="U196">
        <v>1</v>
      </c>
      <c r="Y196" s="23">
        <f>SUM(Tabel2[[#This Row],[V 2]]*10+Tabel2[[#This Row],[GT 2]])/Tabel2[[#This Row],[AW 2]]*10+Tabel2[[#This Row],[BONUS 2]]</f>
        <v>0</v>
      </c>
      <c r="AA196">
        <v>1</v>
      </c>
      <c r="AE196" s="23">
        <f>SUM(Tabel2[[#This Row],[V 3]]*10+Tabel2[[#This Row],[GT 3]])/Tabel2[[#This Row],[AW 3]]*10+Tabel2[[#This Row],[BONUS 3]]</f>
        <v>0</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Y196">
        <v>1</v>
      </c>
      <c r="BC196" s="23">
        <f>SUM(Tabel2[[#This Row],[V 7]]*10+Tabel2[[#This Row],[GT 7]])/Tabel2[[#This Row],[AW 7]]*10+Tabel2[[#This Row],[BONUS 7]]</f>
        <v>0</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6" s="22">
        <v>0</v>
      </c>
      <c r="BX196" s="30">
        <f>Tabel2[[#This Row],[Diploma]]-Tabel2[[#This Row],[Uitgeschreven]]</f>
        <v>0</v>
      </c>
      <c r="BY196" s="2" t="str">
        <f t="shared" si="23"/>
        <v>geen actie</v>
      </c>
      <c r="CA196" s="150">
        <f>Tabel2[[#This Row],[pnt t/m 2021/22]]</f>
        <v>0</v>
      </c>
      <c r="CB196" s="150">
        <f>Tabel2[[#This Row],[pnt 2022/2023]]</f>
        <v>0</v>
      </c>
      <c r="CC196" s="150">
        <f t="shared" si="22"/>
        <v>0</v>
      </c>
      <c r="CD196" s="150">
        <f>IF(Tabel2[[#This Row],[LPR 1]]&gt;0,1,0)</f>
        <v>0</v>
      </c>
      <c r="CE196" s="150">
        <f>IF(Tabel2[[#This Row],[LPR 2]]&gt;0,1,0)</f>
        <v>0</v>
      </c>
      <c r="CF196" s="150">
        <f>IF(Tabel2[[#This Row],[LPR 3]]&gt;0,1,0)</f>
        <v>0</v>
      </c>
      <c r="CG196" s="150">
        <f>IF(Tabel2[[#This Row],[LPR 4]]&gt;0,1,0)</f>
        <v>0</v>
      </c>
      <c r="CH196" s="150">
        <f>IF(Tabel2[[#This Row],[LPR 5]]&gt;0,1,0)</f>
        <v>0</v>
      </c>
      <c r="CI196" s="150">
        <f>IF(Tabel2[[#This Row],[LPR 6]]&gt;0,1,0)</f>
        <v>0</v>
      </c>
      <c r="CJ196" s="150">
        <f>IF(Tabel2[[#This Row],[LPR 7]]&gt;0,1,0)</f>
        <v>0</v>
      </c>
      <c r="CK196" s="150">
        <f>IF(Tabel2[[#This Row],[LPR 8]]&gt;0,1,0)</f>
        <v>0</v>
      </c>
      <c r="CL196" s="150">
        <f>IF(Tabel2[[#This Row],[LPR 9]]&gt;0,1,0)</f>
        <v>0</v>
      </c>
      <c r="CM196" s="150">
        <f>IF(Tabel2[[#This Row],[LPR 10]]&gt;0,1,0)</f>
        <v>0</v>
      </c>
      <c r="CN196" s="150">
        <f>SUM(Tabel7[[#This Row],[sep]:[jun]])</f>
        <v>0</v>
      </c>
      <c r="CO196" s="22" t="str">
        <f t="shared" si="17"/>
        <v/>
      </c>
      <c r="CP196" s="22" t="str">
        <f t="shared" si="18"/>
        <v/>
      </c>
      <c r="CQ196" s="22" t="str">
        <f t="shared" si="19"/>
        <v/>
      </c>
      <c r="CR196" s="22" t="str">
        <f t="shared" si="20"/>
        <v/>
      </c>
      <c r="CS196" s="22" t="str">
        <f t="shared" si="21"/>
        <v/>
      </c>
    </row>
    <row r="197" spans="1:97" x14ac:dyDescent="0.3">
      <c r="A197" s="22" t="s">
        <v>159</v>
      </c>
      <c r="B197" s="22" t="s">
        <v>149</v>
      </c>
      <c r="D197" s="22" t="s">
        <v>163</v>
      </c>
      <c r="E197" t="s">
        <v>385</v>
      </c>
      <c r="F197" s="22">
        <v>118074</v>
      </c>
      <c r="G197" s="25" t="s">
        <v>162</v>
      </c>
      <c r="H197" s="154">
        <f>Tabel2[[#This Row],[pnt t/m 2021/22]]+Tabel2[[#This Row],[pnt 2022/2023]]</f>
        <v>1563.3888888888889</v>
      </c>
      <c r="I197">
        <v>2009</v>
      </c>
      <c r="J197">
        <v>2023</v>
      </c>
      <c r="K197" s="24">
        <f>Tabel2[[#This Row],[ijkdatum]]-Tabel2[[#This Row],[Geboren]]</f>
        <v>14</v>
      </c>
      <c r="L197" s="26">
        <f>Tabel2[[#This Row],[TTL 1]]+Tabel2[[#This Row],[TTL 2]]+Tabel2[[#This Row],[TTL 3]]+Tabel2[[#This Row],[TTL 4]]+Tabel2[[#This Row],[TTL 5]]+Tabel2[[#This Row],[TTL 6]]+Tabel2[[#This Row],[TTL 7]]+Tabel2[[#This Row],[TTL 8]]+Tabel2[[#This Row],[TTL 9]]+Tabel2[[#This Row],[TTL 10]]</f>
        <v>0</v>
      </c>
      <c r="M197" s="151">
        <v>1563.3888888888889</v>
      </c>
      <c r="N197" s="31"/>
      <c r="O197">
        <v>1</v>
      </c>
      <c r="S197" s="27">
        <f>SUM(Tabel2[[#This Row],[V 1]]*10+Tabel2[[#This Row],[GT 1]])/Tabel2[[#This Row],[AW 1]]*10+Tabel2[[#This Row],[BONUS 1]]</f>
        <v>0</v>
      </c>
      <c r="U197">
        <v>1</v>
      </c>
      <c r="Y197" s="23">
        <f>SUM(Tabel2[[#This Row],[V 2]]*10+Tabel2[[#This Row],[GT 2]])/Tabel2[[#This Row],[AW 2]]*10+Tabel2[[#This Row],[BONUS 2]]</f>
        <v>0</v>
      </c>
      <c r="AA197">
        <v>1</v>
      </c>
      <c r="AE197" s="23">
        <f>SUM(Tabel2[[#This Row],[V 3]]*10+Tabel2[[#This Row],[GT 3]])/Tabel2[[#This Row],[AW 3]]*10+Tabel2[[#This Row],[BONUS 3]]</f>
        <v>0</v>
      </c>
      <c r="AG197">
        <v>1</v>
      </c>
      <c r="AK197" s="23">
        <f>SUM(Tabel2[[#This Row],[V 4]]*10+Tabel2[[#This Row],[GT 4]])/Tabel2[[#This Row],[AW 4]]*10+Tabel2[[#This Row],[BONUS 4]]</f>
        <v>0</v>
      </c>
      <c r="AM197">
        <v>1</v>
      </c>
      <c r="AQ197" s="23">
        <f>SUM(Tabel2[[#This Row],[V 5]]*10+Tabel2[[#This Row],[GT 5]])/Tabel2[[#This Row],[AW 5]]*10+Tabel2[[#This Row],[BONUS 5]]</f>
        <v>0</v>
      </c>
      <c r="AS197">
        <v>1</v>
      </c>
      <c r="AW197" s="23">
        <f>SUM(Tabel2[[#This Row],[V 6]]*10+Tabel2[[#This Row],[GT 6]])/Tabel2[[#This Row],[AW 6]]*10+Tabel2[[#This Row],[BONUS 6]]</f>
        <v>0</v>
      </c>
      <c r="AY197">
        <v>1</v>
      </c>
      <c r="BC197" s="23">
        <f>SUM(Tabel2[[#This Row],[V 7]]*10+Tabel2[[#This Row],[GT 7]])/Tabel2[[#This Row],[AW 7]]*10+Tabel2[[#This Row],[BONUS 7]]</f>
        <v>0</v>
      </c>
      <c r="BE197">
        <v>1</v>
      </c>
      <c r="BI197" s="23">
        <f>SUM(Tabel2[[#This Row],[V 8]]*10+Tabel2[[#This Row],[GT 8]])/Tabel2[[#This Row],[AW 8]]*10+Tabel2[[#This Row],[BONUS 8]]</f>
        <v>0</v>
      </c>
      <c r="BK197">
        <v>1</v>
      </c>
      <c r="BO197" s="23">
        <f>SUM(Tabel2[[#This Row],[V 9]]*10+Tabel2[[#This Row],[GT 9]])/Tabel2[[#This Row],[AW 9]]*10+Tabel2[[#This Row],[BONUS 9]]</f>
        <v>0</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97" s="22">
        <v>1500</v>
      </c>
      <c r="BX197" s="30">
        <f>Tabel2[[#This Row],[Diploma]]-Tabel2[[#This Row],[Uitgeschreven]]</f>
        <v>0</v>
      </c>
      <c r="BY197" s="2" t="str">
        <f t="shared" ref="BY197:BY199" si="24">IF(BX197=0,"geen actie",CONCATENATE("diploma uitschrijven: ",BV197," punten"))</f>
        <v>geen actie</v>
      </c>
      <c r="CA197" s="150">
        <f>Tabel2[[#This Row],[pnt t/m 2021/22]]</f>
        <v>1563.3888888888889</v>
      </c>
      <c r="CB197" s="150">
        <f>Tabel2[[#This Row],[pnt 2022/2023]]</f>
        <v>0</v>
      </c>
      <c r="CC197" s="150">
        <f t="shared" si="22"/>
        <v>1563.3888888888889</v>
      </c>
      <c r="CD197" s="150">
        <f>IF(Tabel2[[#This Row],[LPR 1]]&gt;0,1,0)</f>
        <v>0</v>
      </c>
      <c r="CE197" s="150">
        <f>IF(Tabel2[[#This Row],[LPR 2]]&gt;0,1,0)</f>
        <v>0</v>
      </c>
      <c r="CF197" s="150">
        <f>IF(Tabel2[[#This Row],[LPR 3]]&gt;0,1,0)</f>
        <v>0</v>
      </c>
      <c r="CG197" s="150">
        <f>IF(Tabel2[[#This Row],[LPR 4]]&gt;0,1,0)</f>
        <v>0</v>
      </c>
      <c r="CH197" s="150">
        <f>IF(Tabel2[[#This Row],[LPR 5]]&gt;0,1,0)</f>
        <v>0</v>
      </c>
      <c r="CI197" s="150">
        <f>IF(Tabel2[[#This Row],[LPR 6]]&gt;0,1,0)</f>
        <v>0</v>
      </c>
      <c r="CJ197" s="150">
        <f>IF(Tabel2[[#This Row],[LPR 7]]&gt;0,1,0)</f>
        <v>0</v>
      </c>
      <c r="CK197" s="150">
        <f>IF(Tabel2[[#This Row],[LPR 8]]&gt;0,1,0)</f>
        <v>0</v>
      </c>
      <c r="CL197" s="150">
        <f>IF(Tabel2[[#This Row],[LPR 9]]&gt;0,1,0)</f>
        <v>0</v>
      </c>
      <c r="CM197" s="150">
        <f>IF(Tabel2[[#This Row],[LPR 10]]&gt;0,1,0)</f>
        <v>0</v>
      </c>
      <c r="CN197" s="150">
        <f>SUM(Tabel7[[#This Row],[sep]:[jun]])</f>
        <v>0</v>
      </c>
      <c r="CO197" s="22" t="str">
        <f t="shared" si="17"/>
        <v/>
      </c>
      <c r="CP197" s="22" t="str">
        <f t="shared" si="18"/>
        <v/>
      </c>
      <c r="CQ197" s="22" t="str">
        <f t="shared" si="19"/>
        <v/>
      </c>
      <c r="CR197" s="22" t="str">
        <f t="shared" si="20"/>
        <v/>
      </c>
      <c r="CS197" s="22" t="str">
        <f t="shared" si="21"/>
        <v/>
      </c>
    </row>
    <row r="198" spans="1:97" x14ac:dyDescent="0.3">
      <c r="A198" s="22" t="s">
        <v>148</v>
      </c>
      <c r="B198" s="22" t="s">
        <v>149</v>
      </c>
      <c r="D198" s="22" t="s">
        <v>163</v>
      </c>
      <c r="E198" t="s">
        <v>386</v>
      </c>
      <c r="F198" s="22">
        <v>118518</v>
      </c>
      <c r="G198" s="25" t="s">
        <v>181</v>
      </c>
      <c r="H198" s="154">
        <f>Tabel2[[#This Row],[pnt t/m 2021/22]]+Tabel2[[#This Row],[pnt 2022/2023]]</f>
        <v>2011.3333333333335</v>
      </c>
      <c r="I198">
        <v>2010</v>
      </c>
      <c r="J198">
        <v>2023</v>
      </c>
      <c r="K198" s="24">
        <f>Tabel2[[#This Row],[ijkdatum]]-Tabel2[[#This Row],[Geboren]]</f>
        <v>13</v>
      </c>
      <c r="L198" s="26">
        <f>Tabel2[[#This Row],[TTL 1]]+Tabel2[[#This Row],[TTL 2]]+Tabel2[[#This Row],[TTL 3]]+Tabel2[[#This Row],[TTL 4]]+Tabel2[[#This Row],[TTL 5]]+Tabel2[[#This Row],[TTL 6]]+Tabel2[[#This Row],[TTL 7]]+Tabel2[[#This Row],[TTL 8]]+Tabel2[[#This Row],[TTL 9]]+Tabel2[[#This Row],[TTL 10]]</f>
        <v>0</v>
      </c>
      <c r="M198" s="157">
        <v>2011.3333333333335</v>
      </c>
      <c r="N198" s="31"/>
      <c r="O198">
        <v>1</v>
      </c>
      <c r="S198" s="27">
        <f>SUM(Tabel2[[#This Row],[V 1]]*10+Tabel2[[#This Row],[GT 1]])/Tabel2[[#This Row],[AW 1]]*10+Tabel2[[#This Row],[BONUS 1]]</f>
        <v>0</v>
      </c>
      <c r="U198">
        <v>1</v>
      </c>
      <c r="Y198" s="23">
        <f>SUM(Tabel2[[#This Row],[V 2]]*10+Tabel2[[#This Row],[GT 2]])/Tabel2[[#This Row],[AW 2]]*10+Tabel2[[#This Row],[BONUS 2]]</f>
        <v>0</v>
      </c>
      <c r="AA198">
        <v>1</v>
      </c>
      <c r="AE198" s="23">
        <f>SUM(Tabel2[[#This Row],[V 3]]*10+Tabel2[[#This Row],[GT 3]])/Tabel2[[#This Row],[AW 3]]*10+Tabel2[[#This Row],[BONUS 3]]</f>
        <v>0</v>
      </c>
      <c r="AG198">
        <v>1</v>
      </c>
      <c r="AK198" s="23">
        <f>SUM(Tabel2[[#This Row],[V 4]]*10+Tabel2[[#This Row],[GT 4]])/Tabel2[[#This Row],[AW 4]]*10+Tabel2[[#This Row],[BONUS 4]]</f>
        <v>0</v>
      </c>
      <c r="AM198">
        <v>1</v>
      </c>
      <c r="AQ198" s="23">
        <f>SUM(Tabel2[[#This Row],[V 5]]*10+Tabel2[[#This Row],[GT 5]])/Tabel2[[#This Row],[AW 5]]*10+Tabel2[[#This Row],[BONUS 5]]</f>
        <v>0</v>
      </c>
      <c r="AS198">
        <v>1</v>
      </c>
      <c r="AW198" s="23">
        <f>SUM(Tabel2[[#This Row],[V 6]]*10+Tabel2[[#This Row],[GT 6]])/Tabel2[[#This Row],[AW 6]]*10+Tabel2[[#This Row],[BONUS 6]]</f>
        <v>0</v>
      </c>
      <c r="AY198">
        <v>1</v>
      </c>
      <c r="BC198" s="23">
        <f>SUM(Tabel2[[#This Row],[V 7]]*10+Tabel2[[#This Row],[GT 7]])/Tabel2[[#This Row],[AW 7]]*10+Tabel2[[#This Row],[BONUS 7]]</f>
        <v>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98" s="22">
        <v>2000</v>
      </c>
      <c r="BX198" s="30">
        <f>Tabel2[[#This Row],[Diploma]]-Tabel2[[#This Row],[Uitgeschreven]]</f>
        <v>0</v>
      </c>
      <c r="BY198" s="2" t="str">
        <f t="shared" si="24"/>
        <v>geen actie</v>
      </c>
      <c r="CA198" s="150">
        <f>Tabel2[[#This Row],[pnt t/m 2021/22]]</f>
        <v>2011.3333333333335</v>
      </c>
      <c r="CB198" s="150">
        <f>Tabel2[[#This Row],[pnt 2022/2023]]</f>
        <v>0</v>
      </c>
      <c r="CC198" s="150">
        <f t="shared" si="22"/>
        <v>2011.3333333333335</v>
      </c>
      <c r="CD198" s="150">
        <f>IF(Tabel2[[#This Row],[LPR 1]]&gt;0,1,0)</f>
        <v>0</v>
      </c>
      <c r="CE198" s="150">
        <f>IF(Tabel2[[#This Row],[LPR 2]]&gt;0,1,0)</f>
        <v>0</v>
      </c>
      <c r="CF198" s="150">
        <f>IF(Tabel2[[#This Row],[LPR 3]]&gt;0,1,0)</f>
        <v>0</v>
      </c>
      <c r="CG198" s="150">
        <f>IF(Tabel2[[#This Row],[LPR 4]]&gt;0,1,0)</f>
        <v>0</v>
      </c>
      <c r="CH198" s="150">
        <f>IF(Tabel2[[#This Row],[LPR 5]]&gt;0,1,0)</f>
        <v>0</v>
      </c>
      <c r="CI198" s="150">
        <f>IF(Tabel2[[#This Row],[LPR 6]]&gt;0,1,0)</f>
        <v>0</v>
      </c>
      <c r="CJ198" s="150">
        <f>IF(Tabel2[[#This Row],[LPR 7]]&gt;0,1,0)</f>
        <v>0</v>
      </c>
      <c r="CK198" s="150">
        <f>IF(Tabel2[[#This Row],[LPR 8]]&gt;0,1,0)</f>
        <v>0</v>
      </c>
      <c r="CL198" s="150">
        <f>IF(Tabel2[[#This Row],[LPR 9]]&gt;0,1,0)</f>
        <v>0</v>
      </c>
      <c r="CM198" s="150">
        <f>IF(Tabel2[[#This Row],[LPR 10]]&gt;0,1,0)</f>
        <v>0</v>
      </c>
      <c r="CN198" s="150">
        <f>SUM(Tabel7[[#This Row],[sep]:[jun]])</f>
        <v>0</v>
      </c>
      <c r="CO198" s="22" t="str">
        <f t="shared" ref="CO198:CO249" si="25">IF(AND($CA198&lt;1000,$CC198&gt;1000),"x","")</f>
        <v/>
      </c>
      <c r="CP198" s="22" t="str">
        <f t="shared" ref="CP198:CP249" si="26">IF(AND($CA198&lt;1500,$CC198&gt;1500),"x","")</f>
        <v/>
      </c>
      <c r="CQ198" s="22" t="str">
        <f t="shared" ref="CQ198:CQ249" si="27">IF(AND($CA198&lt;2000,$CC198&gt;2000),"x","")</f>
        <v/>
      </c>
      <c r="CR198" s="22" t="str">
        <f t="shared" ref="CR198:CR249" si="28">IF(AND($CA198&lt;2500,$CC198&gt;2500),"x","")</f>
        <v/>
      </c>
      <c r="CS198" s="22" t="str">
        <f t="shared" ref="CS198:CS249" si="29">IF(AND($CA198&lt;3000,$CC198&gt;3000),"x","")</f>
        <v/>
      </c>
    </row>
    <row r="199" spans="1:97" x14ac:dyDescent="0.3">
      <c r="A199" s="22" t="s">
        <v>173</v>
      </c>
      <c r="B199" s="22" t="s">
        <v>149</v>
      </c>
      <c r="D199" s="22" t="s">
        <v>160</v>
      </c>
      <c r="E199" t="s">
        <v>387</v>
      </c>
      <c r="F199" s="22">
        <v>120808</v>
      </c>
      <c r="G199" s="25" t="s">
        <v>195</v>
      </c>
      <c r="H199" s="154">
        <f>Tabel2[[#This Row],[pnt t/m 2021/22]]+Tabel2[[#This Row],[pnt 2022/2023]]</f>
        <v>27.27272727272727</v>
      </c>
      <c r="I199">
        <v>2013</v>
      </c>
      <c r="J199">
        <v>2023</v>
      </c>
      <c r="K199" s="24">
        <f>Tabel2[[#This Row],[ijkdatum]]-Tabel2[[#This Row],[Geboren]]</f>
        <v>10</v>
      </c>
      <c r="L199" s="26">
        <f>Tabel2[[#This Row],[TTL 1]]+Tabel2[[#This Row],[TTL 2]]+Tabel2[[#This Row],[TTL 3]]+Tabel2[[#This Row],[TTL 4]]+Tabel2[[#This Row],[TTL 5]]+Tabel2[[#This Row],[TTL 6]]+Tabel2[[#This Row],[TTL 7]]+Tabel2[[#This Row],[TTL 8]]+Tabel2[[#This Row],[TTL 9]]+Tabel2[[#This Row],[TTL 10]]</f>
        <v>27.27272727272727</v>
      </c>
      <c r="M199" s="151"/>
      <c r="N199" s="31"/>
      <c r="O199">
        <v>1</v>
      </c>
      <c r="S199" s="27">
        <f>SUM(Tabel2[[#This Row],[V 1]]*10+Tabel2[[#This Row],[GT 1]])/Tabel2[[#This Row],[AW 1]]*10+Tabel2[[#This Row],[BONUS 1]]</f>
        <v>0</v>
      </c>
      <c r="U199">
        <v>1</v>
      </c>
      <c r="Y199" s="23">
        <f>SUM(Tabel2[[#This Row],[V 2]]*10+Tabel2[[#This Row],[GT 2]])/Tabel2[[#This Row],[AW 2]]*10+Tabel2[[#This Row],[BONUS 2]]</f>
        <v>0</v>
      </c>
      <c r="Z199">
        <v>3</v>
      </c>
      <c r="AA199">
        <v>11</v>
      </c>
      <c r="AB199">
        <v>1</v>
      </c>
      <c r="AC199">
        <v>20</v>
      </c>
      <c r="AE199" s="23">
        <f>SUM(Tabel2[[#This Row],[V 3]]*10+Tabel2[[#This Row],[GT 3]])/Tabel2[[#This Row],[AW 3]]*10+Tabel2[[#This Row],[BONUS 3]]</f>
        <v>27.27272727272727</v>
      </c>
      <c r="AG199">
        <v>1</v>
      </c>
      <c r="AK199" s="23">
        <f>SUM(Tabel2[[#This Row],[V 4]]*10+Tabel2[[#This Row],[GT 4]])/Tabel2[[#This Row],[AW 4]]*10+Tabel2[[#This Row],[BONUS 4]]</f>
        <v>0</v>
      </c>
      <c r="AM199">
        <v>1</v>
      </c>
      <c r="AQ199" s="23">
        <f>SUM(Tabel2[[#This Row],[V 5]]*10+Tabel2[[#This Row],[GT 5]])/Tabel2[[#This Row],[AW 5]]*10+Tabel2[[#This Row],[BONUS 5]]</f>
        <v>0</v>
      </c>
      <c r="AS199">
        <v>1</v>
      </c>
      <c r="AW199" s="23">
        <f>SUM(Tabel2[[#This Row],[V 6]]*10+Tabel2[[#This Row],[GT 6]])/Tabel2[[#This Row],[AW 6]]*10+Tabel2[[#This Row],[BONUS 6]]</f>
        <v>0</v>
      </c>
      <c r="AY199">
        <v>1</v>
      </c>
      <c r="BC199" s="23">
        <f>SUM(Tabel2[[#This Row],[V 7]]*10+Tabel2[[#This Row],[GT 7]])/Tabel2[[#This Row],[AW 7]]*10+Tabel2[[#This Row],[BONUS 7]]</f>
        <v>0</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9" s="22">
        <v>0</v>
      </c>
      <c r="BX199" s="30">
        <f>Tabel2[[#This Row],[Diploma]]-Tabel2[[#This Row],[Uitgeschreven]]</f>
        <v>0</v>
      </c>
      <c r="BY199" s="2" t="str">
        <f t="shared" si="24"/>
        <v>geen actie</v>
      </c>
      <c r="CA199" s="150">
        <f>Tabel2[[#This Row],[pnt t/m 2021/22]]</f>
        <v>0</v>
      </c>
      <c r="CB199" s="150">
        <f>Tabel2[[#This Row],[pnt 2022/2023]]</f>
        <v>27.27272727272727</v>
      </c>
      <c r="CC199" s="150">
        <f t="shared" ref="CC199:CC219" si="30">CA199+CB199</f>
        <v>27.27272727272727</v>
      </c>
      <c r="CD199" s="150">
        <f>IF(Tabel2[[#This Row],[LPR 1]]&gt;0,1,0)</f>
        <v>0</v>
      </c>
      <c r="CE199" s="150">
        <f>IF(Tabel2[[#This Row],[LPR 2]]&gt;0,1,0)</f>
        <v>0</v>
      </c>
      <c r="CF199" s="150">
        <f>IF(Tabel2[[#This Row],[LPR 3]]&gt;0,1,0)</f>
        <v>1</v>
      </c>
      <c r="CG199" s="150">
        <f>IF(Tabel2[[#This Row],[LPR 4]]&gt;0,1,0)</f>
        <v>0</v>
      </c>
      <c r="CH199" s="150">
        <f>IF(Tabel2[[#This Row],[LPR 5]]&gt;0,1,0)</f>
        <v>0</v>
      </c>
      <c r="CI199" s="150">
        <f>IF(Tabel2[[#This Row],[LPR 6]]&gt;0,1,0)</f>
        <v>0</v>
      </c>
      <c r="CJ199" s="150">
        <f>IF(Tabel2[[#This Row],[LPR 7]]&gt;0,1,0)</f>
        <v>0</v>
      </c>
      <c r="CK199" s="150">
        <f>IF(Tabel2[[#This Row],[LPR 8]]&gt;0,1,0)</f>
        <v>0</v>
      </c>
      <c r="CL199" s="150">
        <f>IF(Tabel2[[#This Row],[LPR 9]]&gt;0,1,0)</f>
        <v>0</v>
      </c>
      <c r="CM199" s="150">
        <f>IF(Tabel2[[#This Row],[LPR 10]]&gt;0,1,0)</f>
        <v>0</v>
      </c>
      <c r="CN199" s="150">
        <f>SUM(Tabel7[[#This Row],[sep]:[jun]])</f>
        <v>1</v>
      </c>
      <c r="CO199" s="22" t="str">
        <f t="shared" si="25"/>
        <v/>
      </c>
      <c r="CP199" s="22" t="str">
        <f t="shared" si="26"/>
        <v/>
      </c>
      <c r="CQ199" s="22" t="str">
        <f t="shared" si="27"/>
        <v/>
      </c>
      <c r="CR199" s="22" t="str">
        <f t="shared" si="28"/>
        <v/>
      </c>
      <c r="CS199" s="22" t="str">
        <f t="shared" si="29"/>
        <v/>
      </c>
    </row>
    <row r="200" spans="1:97" x14ac:dyDescent="0.3">
      <c r="A200" s="22"/>
      <c r="B200" s="22" t="s">
        <v>157</v>
      </c>
      <c r="D200" s="22" t="s">
        <v>163</v>
      </c>
      <c r="H200" s="154">
        <f>Tabel2[[#This Row],[pnt t/m 2021/22]]+Tabel2[[#This Row],[pnt 2022/2023]]</f>
        <v>0</v>
      </c>
      <c r="J200">
        <v>2023</v>
      </c>
      <c r="K200" s="24">
        <f>Tabel2[[#This Row],[ijkdatum]]-Tabel2[[#This Row],[Geboren]]</f>
        <v>2023</v>
      </c>
      <c r="L200" s="26">
        <f>Tabel2[[#This Row],[TTL 1]]+Tabel2[[#This Row],[TTL 2]]+Tabel2[[#This Row],[TTL 3]]+Tabel2[[#This Row],[TTL 4]]+Tabel2[[#This Row],[TTL 5]]+Tabel2[[#This Row],[TTL 6]]+Tabel2[[#This Row],[TTL 7]]+Tabel2[[#This Row],[TTL 8]]+Tabel2[[#This Row],[TTL 9]]+Tabel2[[#This Row],[TTL 10]]</f>
        <v>0</v>
      </c>
      <c r="M200" s="151"/>
      <c r="N200" s="31"/>
      <c r="O200">
        <v>1</v>
      </c>
      <c r="S200" s="27">
        <f>SUM(Tabel2[[#This Row],[V 1]]*10+Tabel2[[#This Row],[GT 1]])/Tabel2[[#This Row],[AW 1]]*10+Tabel2[[#This Row],[BONUS 1]]</f>
        <v>0</v>
      </c>
      <c r="U200">
        <v>1</v>
      </c>
      <c r="Y200" s="27">
        <f>SUM(Tabel2[[#This Row],[V 2]]*10+Tabel2[[#This Row],[GT 2]])/Tabel2[[#This Row],[AW 2]]*10+Tabel2[[#This Row],[BONUS 2]]</f>
        <v>0</v>
      </c>
      <c r="AA200">
        <v>1</v>
      </c>
      <c r="AE200" s="27">
        <f>SUM(Tabel2[[#This Row],[V 3]]*10+Tabel2[[#This Row],[GT 3]])/Tabel2[[#This Row],[AW 3]]*10+Tabel2[[#This Row],[BONUS 3]]</f>
        <v>0</v>
      </c>
      <c r="AG200">
        <v>1</v>
      </c>
      <c r="AK200" s="27">
        <f>SUM(Tabel2[[#This Row],[V 4]]*10+Tabel2[[#This Row],[GT 4]])/Tabel2[[#This Row],[AW 4]]*10+Tabel2[[#This Row],[BONUS 4]]</f>
        <v>0</v>
      </c>
      <c r="AM200">
        <v>1</v>
      </c>
      <c r="AQ200" s="27">
        <f>SUM(Tabel2[[#This Row],[V 5]]*10+Tabel2[[#This Row],[GT 5]])/Tabel2[[#This Row],[AW 5]]*10+Tabel2[[#This Row],[BONUS 5]]</f>
        <v>0</v>
      </c>
      <c r="AS200">
        <v>1</v>
      </c>
      <c r="AW200" s="27">
        <f>SUM(Tabel2[[#This Row],[V 6]]*10+Tabel2[[#This Row],[GT 6]])/Tabel2[[#This Row],[AW 6]]*10+Tabel2[[#This Row],[BONUS 6]]</f>
        <v>0</v>
      </c>
      <c r="AY200">
        <v>1</v>
      </c>
      <c r="BC200" s="27">
        <f>SUM(Tabel2[[#This Row],[V 7]]*10+Tabel2[[#This Row],[GT 7]])/Tabel2[[#This Row],[AW 7]]*10+Tabel2[[#This Row],[BONUS 7]]</f>
        <v>0</v>
      </c>
      <c r="BE200">
        <v>1</v>
      </c>
      <c r="BI200" s="27">
        <f>SUM(Tabel2[[#This Row],[V 8]]*10+Tabel2[[#This Row],[GT 8]])/Tabel2[[#This Row],[AW 8]]*10+Tabel2[[#This Row],[BONUS 8]]</f>
        <v>0</v>
      </c>
      <c r="BK200">
        <v>1</v>
      </c>
      <c r="BO200" s="27">
        <f>SUM(Tabel2[[#This Row],[V 9]]*10+Tabel2[[#This Row],[GT 9]])/Tabel2[[#This Row],[AW 9]]*10+Tabel2[[#This Row],[BONUS 9]]</f>
        <v>0</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30">
        <f>Tabel2[[#This Row],[Diploma]]-Tabel2[[#This Row],[Uitgeschreven]]</f>
        <v>0</v>
      </c>
      <c r="BY200" s="14" t="str">
        <f t="shared" ref="BY200:BY249" si="31">IF(BX200=0,"geen actie",CONCATENATE("diploma uitschrijven: ",BV200," punten"))</f>
        <v>geen actie</v>
      </c>
      <c r="CA200" s="150">
        <f>Tabel2[[#This Row],[pnt t/m 2021/22]]</f>
        <v>0</v>
      </c>
      <c r="CB200" s="150">
        <f>Tabel2[[#This Row],[pnt 2022/2023]]</f>
        <v>0</v>
      </c>
      <c r="CC200" s="150">
        <f t="shared" si="30"/>
        <v>0</v>
      </c>
      <c r="CD200" s="150">
        <f>IF(Tabel2[[#This Row],[LPR 1]]&gt;0,1,0)</f>
        <v>0</v>
      </c>
      <c r="CE200" s="150">
        <f>IF(Tabel2[[#This Row],[LPR 2]]&gt;0,1,0)</f>
        <v>0</v>
      </c>
      <c r="CF200" s="150">
        <f>IF(Tabel2[[#This Row],[LPR 3]]&gt;0,1,0)</f>
        <v>0</v>
      </c>
      <c r="CG200" s="150">
        <f>IF(Tabel2[[#This Row],[LPR 4]]&gt;0,1,0)</f>
        <v>0</v>
      </c>
      <c r="CH200" s="150">
        <f>IF(Tabel2[[#This Row],[LPR 5]]&gt;0,1,0)</f>
        <v>0</v>
      </c>
      <c r="CI200" s="150">
        <f>IF(Tabel2[[#This Row],[LPR 6]]&gt;0,1,0)</f>
        <v>0</v>
      </c>
      <c r="CJ200" s="150">
        <f>IF(Tabel2[[#This Row],[LPR 7]]&gt;0,1,0)</f>
        <v>0</v>
      </c>
      <c r="CK200" s="150">
        <f>IF(Tabel2[[#This Row],[LPR 8]]&gt;0,1,0)</f>
        <v>0</v>
      </c>
      <c r="CL200" s="150">
        <f>IF(Tabel2[[#This Row],[LPR 9]]&gt;0,1,0)</f>
        <v>0</v>
      </c>
      <c r="CM200" s="150">
        <f>IF(Tabel2[[#This Row],[LPR 10]]&gt;0,1,0)</f>
        <v>0</v>
      </c>
      <c r="CN200" s="150">
        <f>SUM(Tabel7[[#This Row],[sep]:[jun]])</f>
        <v>0</v>
      </c>
      <c r="CO200" s="22" t="str">
        <f t="shared" si="25"/>
        <v/>
      </c>
      <c r="CP200" s="22" t="str">
        <f t="shared" si="26"/>
        <v/>
      </c>
      <c r="CQ200" s="22" t="str">
        <f t="shared" si="27"/>
        <v/>
      </c>
      <c r="CR200" s="22" t="str">
        <f t="shared" si="28"/>
        <v/>
      </c>
      <c r="CS200" s="22" t="str">
        <f t="shared" si="29"/>
        <v/>
      </c>
    </row>
    <row r="201" spans="1:97" x14ac:dyDescent="0.3">
      <c r="A201" s="22"/>
      <c r="B201" s="22" t="s">
        <v>157</v>
      </c>
      <c r="D201" s="22" t="s">
        <v>163</v>
      </c>
      <c r="H201" s="154">
        <f>Tabel2[[#This Row],[pnt t/m 2021/22]]+Tabel2[[#This Row],[pnt 2022/2023]]</f>
        <v>0</v>
      </c>
      <c r="J201">
        <v>2023</v>
      </c>
      <c r="K201" s="24">
        <f>Tabel2[[#This Row],[ijkdatum]]-Tabel2[[#This Row],[Geboren]]</f>
        <v>2023</v>
      </c>
      <c r="L201" s="26">
        <f>Tabel2[[#This Row],[TTL 1]]+Tabel2[[#This Row],[TTL 2]]+Tabel2[[#This Row],[TTL 3]]+Tabel2[[#This Row],[TTL 4]]+Tabel2[[#This Row],[TTL 5]]+Tabel2[[#This Row],[TTL 6]]+Tabel2[[#This Row],[TTL 7]]+Tabel2[[#This Row],[TTL 8]]+Tabel2[[#This Row],[TTL 9]]+Tabel2[[#This Row],[TTL 10]]</f>
        <v>0</v>
      </c>
      <c r="M201" s="151"/>
      <c r="N201" s="31"/>
      <c r="O201">
        <v>1</v>
      </c>
      <c r="S201" s="27">
        <f>SUM(Tabel2[[#This Row],[V 1]]*10+Tabel2[[#This Row],[GT 1]])/Tabel2[[#This Row],[AW 1]]*10+Tabel2[[#This Row],[BONUS 1]]</f>
        <v>0</v>
      </c>
      <c r="U201">
        <v>1</v>
      </c>
      <c r="Y201" s="27">
        <f>SUM(Tabel2[[#This Row],[V 2]]*10+Tabel2[[#This Row],[GT 2]])/Tabel2[[#This Row],[AW 2]]*10+Tabel2[[#This Row],[BONUS 2]]</f>
        <v>0</v>
      </c>
      <c r="AA201">
        <v>1</v>
      </c>
      <c r="AE201" s="27">
        <f>SUM(Tabel2[[#This Row],[V 3]]*10+Tabel2[[#This Row],[GT 3]])/Tabel2[[#This Row],[AW 3]]*10+Tabel2[[#This Row],[BONUS 3]]</f>
        <v>0</v>
      </c>
      <c r="AG201">
        <v>1</v>
      </c>
      <c r="AK201" s="27">
        <f>SUM(Tabel2[[#This Row],[V 4]]*10+Tabel2[[#This Row],[GT 4]])/Tabel2[[#This Row],[AW 4]]*10+Tabel2[[#This Row],[BONUS 4]]</f>
        <v>0</v>
      </c>
      <c r="AM201">
        <v>1</v>
      </c>
      <c r="AQ201" s="27">
        <f>SUM(Tabel2[[#This Row],[V 5]]*10+Tabel2[[#This Row],[GT 5]])/Tabel2[[#This Row],[AW 5]]*10+Tabel2[[#This Row],[BONUS 5]]</f>
        <v>0</v>
      </c>
      <c r="AS201">
        <v>1</v>
      </c>
      <c r="AW201" s="27">
        <f>SUM(Tabel2[[#This Row],[V 6]]*10+Tabel2[[#This Row],[GT 6]])/Tabel2[[#This Row],[AW 6]]*10+Tabel2[[#This Row],[BONUS 6]]</f>
        <v>0</v>
      </c>
      <c r="AY201">
        <v>1</v>
      </c>
      <c r="BC201" s="27">
        <f>SUM(Tabel2[[#This Row],[V 7]]*10+Tabel2[[#This Row],[GT 7]])/Tabel2[[#This Row],[AW 7]]*10+Tabel2[[#This Row],[BONUS 7]]</f>
        <v>0</v>
      </c>
      <c r="BE201">
        <v>1</v>
      </c>
      <c r="BI201" s="27">
        <f>SUM(Tabel2[[#This Row],[V 8]]*10+Tabel2[[#This Row],[GT 8]])/Tabel2[[#This Row],[AW 8]]*10+Tabel2[[#This Row],[BONUS 8]]</f>
        <v>0</v>
      </c>
      <c r="BK201">
        <v>1</v>
      </c>
      <c r="BO201" s="27">
        <f>SUM(Tabel2[[#This Row],[V 9]]*10+Tabel2[[#This Row],[GT 9]])/Tabel2[[#This Row],[AW 9]]*10+Tabel2[[#This Row],[BONUS 9]]</f>
        <v>0</v>
      </c>
      <c r="BQ201">
        <v>1</v>
      </c>
      <c r="BU201" s="23">
        <f>SUM(Tabel2[[#This Row],[V 10]]*10+Tabel2[[#This Row],[GT 10]])/Tabel2[[#This Row],[AW 10]]*10+Tabel2[[#This Row],[BONUS 10]]</f>
        <v>0</v>
      </c>
      <c r="BV2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1" s="22">
        <v>0</v>
      </c>
      <c r="BX201" s="30">
        <f>Tabel2[[#This Row],[Diploma]]-Tabel2[[#This Row],[Uitgeschreven]]</f>
        <v>0</v>
      </c>
      <c r="BY201" s="14" t="str">
        <f t="shared" si="31"/>
        <v>geen actie</v>
      </c>
      <c r="CA201" s="150">
        <f>Tabel2[[#This Row],[pnt t/m 2021/22]]</f>
        <v>0</v>
      </c>
      <c r="CB201" s="150">
        <f>Tabel2[[#This Row],[pnt 2022/2023]]</f>
        <v>0</v>
      </c>
      <c r="CC201" s="150">
        <f t="shared" si="30"/>
        <v>0</v>
      </c>
      <c r="CD201" s="150">
        <f>IF(Tabel2[[#This Row],[LPR 1]]&gt;0,1,0)</f>
        <v>0</v>
      </c>
      <c r="CE201" s="150">
        <f>IF(Tabel2[[#This Row],[LPR 2]]&gt;0,1,0)</f>
        <v>0</v>
      </c>
      <c r="CF201" s="150">
        <f>IF(Tabel2[[#This Row],[LPR 3]]&gt;0,1,0)</f>
        <v>0</v>
      </c>
      <c r="CG201" s="150">
        <f>IF(Tabel2[[#This Row],[LPR 4]]&gt;0,1,0)</f>
        <v>0</v>
      </c>
      <c r="CH201" s="150">
        <f>IF(Tabel2[[#This Row],[LPR 5]]&gt;0,1,0)</f>
        <v>0</v>
      </c>
      <c r="CI201" s="150">
        <f>IF(Tabel2[[#This Row],[LPR 6]]&gt;0,1,0)</f>
        <v>0</v>
      </c>
      <c r="CJ201" s="150">
        <f>IF(Tabel2[[#This Row],[LPR 7]]&gt;0,1,0)</f>
        <v>0</v>
      </c>
      <c r="CK201" s="150">
        <f>IF(Tabel2[[#This Row],[LPR 8]]&gt;0,1,0)</f>
        <v>0</v>
      </c>
      <c r="CL201" s="150">
        <f>IF(Tabel2[[#This Row],[LPR 9]]&gt;0,1,0)</f>
        <v>0</v>
      </c>
      <c r="CM201" s="150">
        <f>IF(Tabel2[[#This Row],[LPR 10]]&gt;0,1,0)</f>
        <v>0</v>
      </c>
      <c r="CN201" s="150">
        <f>SUM(Tabel7[[#This Row],[sep]:[jun]])</f>
        <v>0</v>
      </c>
      <c r="CO201" s="22" t="str">
        <f t="shared" si="25"/>
        <v/>
      </c>
      <c r="CP201" s="22" t="str">
        <f t="shared" si="26"/>
        <v/>
      </c>
      <c r="CQ201" s="22" t="str">
        <f t="shared" si="27"/>
        <v/>
      </c>
      <c r="CR201" s="22" t="str">
        <f t="shared" si="28"/>
        <v/>
      </c>
      <c r="CS201" s="22" t="str">
        <f t="shared" si="29"/>
        <v/>
      </c>
    </row>
    <row r="202" spans="1:97" x14ac:dyDescent="0.3">
      <c r="A202" s="22"/>
      <c r="B202" s="22" t="s">
        <v>157</v>
      </c>
      <c r="D202" s="22" t="s">
        <v>163</v>
      </c>
      <c r="H202" s="154">
        <f>Tabel2[[#This Row],[pnt t/m 2021/22]]+Tabel2[[#This Row],[pnt 2022/2023]]</f>
        <v>0</v>
      </c>
      <c r="J202">
        <v>2023</v>
      </c>
      <c r="K202" s="24">
        <f>Tabel2[[#This Row],[ijkdatum]]-Tabel2[[#This Row],[Geboren]]</f>
        <v>2023</v>
      </c>
      <c r="L202" s="26">
        <f>Tabel2[[#This Row],[TTL 1]]+Tabel2[[#This Row],[TTL 2]]+Tabel2[[#This Row],[TTL 3]]+Tabel2[[#This Row],[TTL 4]]+Tabel2[[#This Row],[TTL 5]]+Tabel2[[#This Row],[TTL 6]]+Tabel2[[#This Row],[TTL 7]]+Tabel2[[#This Row],[TTL 8]]+Tabel2[[#This Row],[TTL 9]]+Tabel2[[#This Row],[TTL 10]]</f>
        <v>0</v>
      </c>
      <c r="M202" s="151"/>
      <c r="N202" s="31"/>
      <c r="O202">
        <v>1</v>
      </c>
      <c r="S202" s="27">
        <f>SUM(Tabel2[[#This Row],[V 1]]*10+Tabel2[[#This Row],[GT 1]])/Tabel2[[#This Row],[AW 1]]*10+Tabel2[[#This Row],[BONUS 1]]</f>
        <v>0</v>
      </c>
      <c r="U202">
        <v>1</v>
      </c>
      <c r="Y202" s="27">
        <f>SUM(Tabel2[[#This Row],[V 2]]*10+Tabel2[[#This Row],[GT 2]])/Tabel2[[#This Row],[AW 2]]*10+Tabel2[[#This Row],[BONUS 2]]</f>
        <v>0</v>
      </c>
      <c r="AA202">
        <v>1</v>
      </c>
      <c r="AE202" s="27">
        <f>SUM(Tabel2[[#This Row],[V 3]]*10+Tabel2[[#This Row],[GT 3]])/Tabel2[[#This Row],[AW 3]]*10+Tabel2[[#This Row],[BONUS 3]]</f>
        <v>0</v>
      </c>
      <c r="AG202">
        <v>1</v>
      </c>
      <c r="AK202" s="27">
        <f>SUM(Tabel2[[#This Row],[V 4]]*10+Tabel2[[#This Row],[GT 4]])/Tabel2[[#This Row],[AW 4]]*10+Tabel2[[#This Row],[BONUS 4]]</f>
        <v>0</v>
      </c>
      <c r="AM202">
        <v>1</v>
      </c>
      <c r="AQ202" s="27">
        <f>SUM(Tabel2[[#This Row],[V 5]]*10+Tabel2[[#This Row],[GT 5]])/Tabel2[[#This Row],[AW 5]]*10+Tabel2[[#This Row],[BONUS 5]]</f>
        <v>0</v>
      </c>
      <c r="AS202">
        <v>1</v>
      </c>
      <c r="AW202" s="27">
        <f>SUM(Tabel2[[#This Row],[V 6]]*10+Tabel2[[#This Row],[GT 6]])/Tabel2[[#This Row],[AW 6]]*10+Tabel2[[#This Row],[BONUS 6]]</f>
        <v>0</v>
      </c>
      <c r="AY202">
        <v>1</v>
      </c>
      <c r="BC202" s="27">
        <f>SUM(Tabel2[[#This Row],[V 7]]*10+Tabel2[[#This Row],[GT 7]])/Tabel2[[#This Row],[AW 7]]*10+Tabel2[[#This Row],[BONUS 7]]</f>
        <v>0</v>
      </c>
      <c r="BE202">
        <v>1</v>
      </c>
      <c r="BI202" s="27">
        <f>SUM(Tabel2[[#This Row],[V 8]]*10+Tabel2[[#This Row],[GT 8]])/Tabel2[[#This Row],[AW 8]]*10+Tabel2[[#This Row],[BONUS 8]]</f>
        <v>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2" s="22">
        <v>0</v>
      </c>
      <c r="BX202" s="30">
        <f>Tabel2[[#This Row],[Diploma]]-Tabel2[[#This Row],[Uitgeschreven]]</f>
        <v>0</v>
      </c>
      <c r="BY202" s="14" t="str">
        <f t="shared" si="31"/>
        <v>geen actie</v>
      </c>
      <c r="CA202" s="150">
        <f>Tabel2[[#This Row],[pnt t/m 2021/22]]</f>
        <v>0</v>
      </c>
      <c r="CB202" s="150">
        <f>Tabel2[[#This Row],[pnt 2022/2023]]</f>
        <v>0</v>
      </c>
      <c r="CC202" s="150">
        <f t="shared" si="30"/>
        <v>0</v>
      </c>
      <c r="CD202" s="150">
        <f>IF(Tabel2[[#This Row],[LPR 1]]&gt;0,1,0)</f>
        <v>0</v>
      </c>
      <c r="CE202" s="150">
        <f>IF(Tabel2[[#This Row],[LPR 2]]&gt;0,1,0)</f>
        <v>0</v>
      </c>
      <c r="CF202" s="150">
        <f>IF(Tabel2[[#This Row],[LPR 3]]&gt;0,1,0)</f>
        <v>0</v>
      </c>
      <c r="CG202" s="150">
        <f>IF(Tabel2[[#This Row],[LPR 4]]&gt;0,1,0)</f>
        <v>0</v>
      </c>
      <c r="CH202" s="150">
        <f>IF(Tabel2[[#This Row],[LPR 5]]&gt;0,1,0)</f>
        <v>0</v>
      </c>
      <c r="CI202" s="150">
        <f>IF(Tabel2[[#This Row],[LPR 6]]&gt;0,1,0)</f>
        <v>0</v>
      </c>
      <c r="CJ202" s="150">
        <f>IF(Tabel2[[#This Row],[LPR 7]]&gt;0,1,0)</f>
        <v>0</v>
      </c>
      <c r="CK202" s="150">
        <f>IF(Tabel2[[#This Row],[LPR 8]]&gt;0,1,0)</f>
        <v>0</v>
      </c>
      <c r="CL202" s="150">
        <f>IF(Tabel2[[#This Row],[LPR 9]]&gt;0,1,0)</f>
        <v>0</v>
      </c>
      <c r="CM202" s="150">
        <f>IF(Tabel2[[#This Row],[LPR 10]]&gt;0,1,0)</f>
        <v>0</v>
      </c>
      <c r="CN202" s="150">
        <f>SUM(Tabel7[[#This Row],[sep]:[jun]])</f>
        <v>0</v>
      </c>
      <c r="CO202" s="22" t="str">
        <f t="shared" si="25"/>
        <v/>
      </c>
      <c r="CP202" s="22" t="str">
        <f t="shared" si="26"/>
        <v/>
      </c>
      <c r="CQ202" s="22" t="str">
        <f t="shared" si="27"/>
        <v/>
      </c>
      <c r="CR202" s="22" t="str">
        <f t="shared" si="28"/>
        <v/>
      </c>
      <c r="CS202" s="22" t="str">
        <f t="shared" si="29"/>
        <v/>
      </c>
    </row>
    <row r="203" spans="1:97" x14ac:dyDescent="0.3">
      <c r="A203" s="22"/>
      <c r="B203" s="22" t="s">
        <v>157</v>
      </c>
      <c r="D203" s="22" t="s">
        <v>163</v>
      </c>
      <c r="H203" s="154">
        <f>Tabel2[[#This Row],[pnt t/m 2021/22]]+Tabel2[[#This Row],[pnt 2022/2023]]</f>
        <v>0</v>
      </c>
      <c r="J203">
        <v>2023</v>
      </c>
      <c r="K203" s="24">
        <f>Tabel2[[#This Row],[ijkdatum]]-Tabel2[[#This Row],[Geboren]]</f>
        <v>2023</v>
      </c>
      <c r="L203" s="26">
        <f>Tabel2[[#This Row],[TTL 1]]+Tabel2[[#This Row],[TTL 2]]+Tabel2[[#This Row],[TTL 3]]+Tabel2[[#This Row],[TTL 4]]+Tabel2[[#This Row],[TTL 5]]+Tabel2[[#This Row],[TTL 6]]+Tabel2[[#This Row],[TTL 7]]+Tabel2[[#This Row],[TTL 8]]+Tabel2[[#This Row],[TTL 9]]+Tabel2[[#This Row],[TTL 10]]</f>
        <v>0</v>
      </c>
      <c r="M203" s="151"/>
      <c r="N203" s="31"/>
      <c r="O203">
        <v>1</v>
      </c>
      <c r="S203" s="27">
        <f>SUM(Tabel2[[#This Row],[V 1]]*10+Tabel2[[#This Row],[GT 1]])/Tabel2[[#This Row],[AW 1]]*10+Tabel2[[#This Row],[BONUS 1]]</f>
        <v>0</v>
      </c>
      <c r="U203">
        <v>1</v>
      </c>
      <c r="Y203" s="27">
        <f>SUM(Tabel2[[#This Row],[V 2]]*10+Tabel2[[#This Row],[GT 2]])/Tabel2[[#This Row],[AW 2]]*10+Tabel2[[#This Row],[BONUS 2]]</f>
        <v>0</v>
      </c>
      <c r="AA203">
        <v>1</v>
      </c>
      <c r="AE203" s="27">
        <f>SUM(Tabel2[[#This Row],[V 3]]*10+Tabel2[[#This Row],[GT 3]])/Tabel2[[#This Row],[AW 3]]*10+Tabel2[[#This Row],[BONUS 3]]</f>
        <v>0</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Y203">
        <v>1</v>
      </c>
      <c r="BC203" s="27">
        <f>SUM(Tabel2[[#This Row],[V 7]]*10+Tabel2[[#This Row],[GT 7]])/Tabel2[[#This Row],[AW 7]]*10+Tabel2[[#This Row],[BONUS 7]]</f>
        <v>0</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30">
        <f>Tabel2[[#This Row],[Diploma]]-Tabel2[[#This Row],[Uitgeschreven]]</f>
        <v>0</v>
      </c>
      <c r="BY203" s="14" t="str">
        <f t="shared" si="31"/>
        <v>geen actie</v>
      </c>
      <c r="CA203" s="150">
        <f>Tabel2[[#This Row],[pnt t/m 2021/22]]</f>
        <v>0</v>
      </c>
      <c r="CB203" s="150">
        <f>Tabel2[[#This Row],[pnt 2022/2023]]</f>
        <v>0</v>
      </c>
      <c r="CC203" s="150">
        <f t="shared" si="30"/>
        <v>0</v>
      </c>
      <c r="CD203" s="150">
        <f>IF(Tabel2[[#This Row],[LPR 1]]&gt;0,1,0)</f>
        <v>0</v>
      </c>
      <c r="CE203" s="150">
        <f>IF(Tabel2[[#This Row],[LPR 2]]&gt;0,1,0)</f>
        <v>0</v>
      </c>
      <c r="CF203" s="150">
        <f>IF(Tabel2[[#This Row],[LPR 3]]&gt;0,1,0)</f>
        <v>0</v>
      </c>
      <c r="CG203" s="150">
        <f>IF(Tabel2[[#This Row],[LPR 4]]&gt;0,1,0)</f>
        <v>0</v>
      </c>
      <c r="CH203" s="150">
        <f>IF(Tabel2[[#This Row],[LPR 5]]&gt;0,1,0)</f>
        <v>0</v>
      </c>
      <c r="CI203" s="150">
        <f>IF(Tabel2[[#This Row],[LPR 6]]&gt;0,1,0)</f>
        <v>0</v>
      </c>
      <c r="CJ203" s="150">
        <f>IF(Tabel2[[#This Row],[LPR 7]]&gt;0,1,0)</f>
        <v>0</v>
      </c>
      <c r="CK203" s="150">
        <f>IF(Tabel2[[#This Row],[LPR 8]]&gt;0,1,0)</f>
        <v>0</v>
      </c>
      <c r="CL203" s="150">
        <f>IF(Tabel2[[#This Row],[LPR 9]]&gt;0,1,0)</f>
        <v>0</v>
      </c>
      <c r="CM203" s="150">
        <f>IF(Tabel2[[#This Row],[LPR 10]]&gt;0,1,0)</f>
        <v>0</v>
      </c>
      <c r="CN203" s="150">
        <f>SUM(Tabel7[[#This Row],[sep]:[jun]])</f>
        <v>0</v>
      </c>
      <c r="CO203" s="22" t="str">
        <f t="shared" si="25"/>
        <v/>
      </c>
      <c r="CP203" s="22" t="str">
        <f t="shared" si="26"/>
        <v/>
      </c>
      <c r="CQ203" s="22" t="str">
        <f t="shared" si="27"/>
        <v/>
      </c>
      <c r="CR203" s="22" t="str">
        <f t="shared" si="28"/>
        <v/>
      </c>
      <c r="CS203" s="22" t="str">
        <f t="shared" si="29"/>
        <v/>
      </c>
    </row>
    <row r="204" spans="1:97" x14ac:dyDescent="0.3">
      <c r="A204" s="22"/>
      <c r="B204" s="22" t="s">
        <v>157</v>
      </c>
      <c r="D204" s="22" t="s">
        <v>163</v>
      </c>
      <c r="G204" s="25"/>
      <c r="H204" s="154">
        <f>Tabel2[[#This Row],[pnt t/m 2021/22]]+Tabel2[[#This Row],[pnt 2022/2023]]</f>
        <v>0</v>
      </c>
      <c r="J204">
        <v>2023</v>
      </c>
      <c r="K204" s="24">
        <f>Tabel2[[#This Row],[ijkdatum]]-Tabel2[[#This Row],[Geboren]]</f>
        <v>2023</v>
      </c>
      <c r="L204" s="26">
        <f>Tabel2[[#This Row],[TTL 1]]+Tabel2[[#This Row],[TTL 2]]+Tabel2[[#This Row],[TTL 3]]+Tabel2[[#This Row],[TTL 4]]+Tabel2[[#This Row],[TTL 5]]+Tabel2[[#This Row],[TTL 6]]+Tabel2[[#This Row],[TTL 7]]+Tabel2[[#This Row],[TTL 8]]+Tabel2[[#This Row],[TTL 9]]+Tabel2[[#This Row],[TTL 10]]</f>
        <v>0</v>
      </c>
      <c r="M204" s="151"/>
      <c r="N204" s="31"/>
      <c r="O204">
        <v>1</v>
      </c>
      <c r="S204" s="27">
        <f>SUM(Tabel2[[#This Row],[V 1]]*10+Tabel2[[#This Row],[GT 1]])/Tabel2[[#This Row],[AW 1]]*10+Tabel2[[#This Row],[BONUS 1]]</f>
        <v>0</v>
      </c>
      <c r="U204">
        <v>1</v>
      </c>
      <c r="Y204" s="27">
        <f>SUM(Tabel2[[#This Row],[V 2]]*10+Tabel2[[#This Row],[GT 2]])/Tabel2[[#This Row],[AW 2]]*10+Tabel2[[#This Row],[BONUS 2]]</f>
        <v>0</v>
      </c>
      <c r="AA204">
        <v>1</v>
      </c>
      <c r="AE204" s="27">
        <f>SUM(Tabel2[[#This Row],[V 3]]*10+Tabel2[[#This Row],[GT 3]])/Tabel2[[#This Row],[AW 3]]*10+Tabel2[[#This Row],[BONUS 3]]</f>
        <v>0</v>
      </c>
      <c r="AG204">
        <v>1</v>
      </c>
      <c r="AK204" s="27">
        <f>SUM(Tabel2[[#This Row],[V 4]]*10+Tabel2[[#This Row],[GT 4]])/Tabel2[[#This Row],[AW 4]]*10+Tabel2[[#This Row],[BONUS 4]]</f>
        <v>0</v>
      </c>
      <c r="AM204">
        <v>1</v>
      </c>
      <c r="AQ204" s="27">
        <f>SUM(Tabel2[[#This Row],[V 5]]*10+Tabel2[[#This Row],[GT 5]])/Tabel2[[#This Row],[AW 5]]*10+Tabel2[[#This Row],[BONUS 5]]</f>
        <v>0</v>
      </c>
      <c r="AS204">
        <v>1</v>
      </c>
      <c r="AW204" s="27">
        <f>SUM(Tabel2[[#This Row],[V 6]]*10+Tabel2[[#This Row],[GT 6]])/Tabel2[[#This Row],[AW 6]]*10+Tabel2[[#This Row],[BONUS 6]]</f>
        <v>0</v>
      </c>
      <c r="AY204">
        <v>1</v>
      </c>
      <c r="BC204" s="27">
        <f>SUM(Tabel2[[#This Row],[V 7]]*10+Tabel2[[#This Row],[GT 7]])/Tabel2[[#This Row],[AW 7]]*10+Tabel2[[#This Row],[BONUS 7]]</f>
        <v>0</v>
      </c>
      <c r="BE204">
        <v>1</v>
      </c>
      <c r="BI204" s="27">
        <f>SUM(Tabel2[[#This Row],[V 8]]*10+Tabel2[[#This Row],[GT 8]])/Tabel2[[#This Row],[AW 8]]*10+Tabel2[[#This Row],[BONUS 8]]</f>
        <v>0</v>
      </c>
      <c r="BK204">
        <v>1</v>
      </c>
      <c r="BO204" s="27">
        <f>SUM(Tabel2[[#This Row],[V 9]]*10+Tabel2[[#This Row],[GT 9]])/Tabel2[[#This Row],[AW 9]]*10+Tabel2[[#This Row],[BONUS 9]]</f>
        <v>0</v>
      </c>
      <c r="BQ204">
        <v>1</v>
      </c>
      <c r="BU204" s="23">
        <f>SUM(Tabel2[[#This Row],[V 10]]*10+Tabel2[[#This Row],[GT 10]])/Tabel2[[#This Row],[AW 10]]*10+Tabel2[[#This Row],[BONUS 10]]</f>
        <v>0</v>
      </c>
      <c r="BV2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4" s="22">
        <v>0</v>
      </c>
      <c r="BX204" s="30">
        <f>Tabel2[[#This Row],[Diploma]]-Tabel2[[#This Row],[Uitgeschreven]]</f>
        <v>0</v>
      </c>
      <c r="BY204" s="14" t="str">
        <f t="shared" si="31"/>
        <v>geen actie</v>
      </c>
      <c r="CA204" s="150">
        <f>Tabel2[[#This Row],[pnt t/m 2021/22]]</f>
        <v>0</v>
      </c>
      <c r="CB204" s="150">
        <f>Tabel2[[#This Row],[pnt 2022/2023]]</f>
        <v>0</v>
      </c>
      <c r="CC204" s="150">
        <f t="shared" si="30"/>
        <v>0</v>
      </c>
      <c r="CD204" s="150">
        <f>IF(Tabel2[[#This Row],[LPR 1]]&gt;0,1,0)</f>
        <v>0</v>
      </c>
      <c r="CE204" s="150">
        <f>IF(Tabel2[[#This Row],[LPR 2]]&gt;0,1,0)</f>
        <v>0</v>
      </c>
      <c r="CF204" s="150">
        <f>IF(Tabel2[[#This Row],[LPR 3]]&gt;0,1,0)</f>
        <v>0</v>
      </c>
      <c r="CG204" s="150">
        <f>IF(Tabel2[[#This Row],[LPR 4]]&gt;0,1,0)</f>
        <v>0</v>
      </c>
      <c r="CH204" s="150">
        <f>IF(Tabel2[[#This Row],[LPR 5]]&gt;0,1,0)</f>
        <v>0</v>
      </c>
      <c r="CI204" s="150">
        <f>IF(Tabel2[[#This Row],[LPR 6]]&gt;0,1,0)</f>
        <v>0</v>
      </c>
      <c r="CJ204" s="150">
        <f>IF(Tabel2[[#This Row],[LPR 7]]&gt;0,1,0)</f>
        <v>0</v>
      </c>
      <c r="CK204" s="150">
        <f>IF(Tabel2[[#This Row],[LPR 8]]&gt;0,1,0)</f>
        <v>0</v>
      </c>
      <c r="CL204" s="150">
        <f>IF(Tabel2[[#This Row],[LPR 9]]&gt;0,1,0)</f>
        <v>0</v>
      </c>
      <c r="CM204" s="150">
        <f>IF(Tabel2[[#This Row],[LPR 10]]&gt;0,1,0)</f>
        <v>0</v>
      </c>
      <c r="CN204" s="150">
        <f>SUM(Tabel7[[#This Row],[sep]:[jun]])</f>
        <v>0</v>
      </c>
      <c r="CO204" s="22" t="str">
        <f t="shared" si="25"/>
        <v/>
      </c>
      <c r="CP204" s="22" t="str">
        <f t="shared" si="26"/>
        <v/>
      </c>
      <c r="CQ204" s="22" t="str">
        <f t="shared" si="27"/>
        <v/>
      </c>
      <c r="CR204" s="22" t="str">
        <f t="shared" si="28"/>
        <v/>
      </c>
      <c r="CS204" s="22" t="str">
        <f t="shared" si="29"/>
        <v/>
      </c>
    </row>
    <row r="205" spans="1:97" x14ac:dyDescent="0.3">
      <c r="A205" s="22"/>
      <c r="B205" s="22" t="s">
        <v>157</v>
      </c>
      <c r="D205" s="22" t="s">
        <v>163</v>
      </c>
      <c r="G205" s="25"/>
      <c r="H205" s="154">
        <f>Tabel2[[#This Row],[pnt t/m 2021/22]]+Tabel2[[#This Row],[pnt 2022/2023]]</f>
        <v>0</v>
      </c>
      <c r="J205">
        <v>2023</v>
      </c>
      <c r="K205" s="24">
        <f>Tabel2[[#This Row],[ijkdatum]]-Tabel2[[#This Row],[Geboren]]</f>
        <v>2023</v>
      </c>
      <c r="L205" s="26">
        <f>Tabel2[[#This Row],[TTL 1]]+Tabel2[[#This Row],[TTL 2]]+Tabel2[[#This Row],[TTL 3]]+Tabel2[[#This Row],[TTL 4]]+Tabel2[[#This Row],[TTL 5]]+Tabel2[[#This Row],[TTL 6]]+Tabel2[[#This Row],[TTL 7]]+Tabel2[[#This Row],[TTL 8]]+Tabel2[[#This Row],[TTL 9]]+Tabel2[[#This Row],[TTL 10]]</f>
        <v>0</v>
      </c>
      <c r="M205" s="151"/>
      <c r="N205" s="31"/>
      <c r="O205">
        <v>1</v>
      </c>
      <c r="S205" s="27">
        <f>SUM(Tabel2[[#This Row],[V 1]]*10+Tabel2[[#This Row],[GT 1]])/Tabel2[[#This Row],[AW 1]]*10+Tabel2[[#This Row],[BONUS 1]]</f>
        <v>0</v>
      </c>
      <c r="U205">
        <v>1</v>
      </c>
      <c r="Y205" s="27">
        <f>SUM(Tabel2[[#This Row],[V 2]]*10+Tabel2[[#This Row],[GT 2]])/Tabel2[[#This Row],[AW 2]]*10+Tabel2[[#This Row],[BONUS 2]]</f>
        <v>0</v>
      </c>
      <c r="AA205">
        <v>1</v>
      </c>
      <c r="AE205" s="27">
        <f>SUM(Tabel2[[#This Row],[V 3]]*10+Tabel2[[#This Row],[GT 3]])/Tabel2[[#This Row],[AW 3]]*10+Tabel2[[#This Row],[BONUS 3]]</f>
        <v>0</v>
      </c>
      <c r="AG205">
        <v>1</v>
      </c>
      <c r="AK205" s="27">
        <f>SUM(Tabel2[[#This Row],[V 4]]*10+Tabel2[[#This Row],[GT 4]])/Tabel2[[#This Row],[AW 4]]*10+Tabel2[[#This Row],[BONUS 4]]</f>
        <v>0</v>
      </c>
      <c r="AM205">
        <v>1</v>
      </c>
      <c r="AQ205" s="27">
        <f>SUM(Tabel2[[#This Row],[V 5]]*10+Tabel2[[#This Row],[GT 5]])/Tabel2[[#This Row],[AW 5]]*10+Tabel2[[#This Row],[BONUS 5]]</f>
        <v>0</v>
      </c>
      <c r="AS205">
        <v>1</v>
      </c>
      <c r="AW205" s="27">
        <f>SUM(Tabel2[[#This Row],[V 6]]*10+Tabel2[[#This Row],[GT 6]])/Tabel2[[#This Row],[AW 6]]*10+Tabel2[[#This Row],[BONUS 6]]</f>
        <v>0</v>
      </c>
      <c r="AY205">
        <v>1</v>
      </c>
      <c r="BC205" s="27">
        <f>SUM(Tabel2[[#This Row],[V 7]]*10+Tabel2[[#This Row],[GT 7]])/Tabel2[[#This Row],[AW 7]]*10+Tabel2[[#This Row],[BONUS 7]]</f>
        <v>0</v>
      </c>
      <c r="BE205">
        <v>1</v>
      </c>
      <c r="BI205" s="27">
        <f>SUM(Tabel2[[#This Row],[V 8]]*10+Tabel2[[#This Row],[GT 8]])/Tabel2[[#This Row],[AW 8]]*10+Tabel2[[#This Row],[BONUS 8]]</f>
        <v>0</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5" s="22">
        <v>0</v>
      </c>
      <c r="BX205" s="30">
        <f>Tabel2[[#This Row],[Diploma]]-Tabel2[[#This Row],[Uitgeschreven]]</f>
        <v>0</v>
      </c>
      <c r="BY205" s="14" t="str">
        <f t="shared" si="31"/>
        <v>geen actie</v>
      </c>
      <c r="CA205" s="150">
        <f>Tabel2[[#This Row],[pnt t/m 2021/22]]</f>
        <v>0</v>
      </c>
      <c r="CB205" s="150">
        <f>Tabel2[[#This Row],[pnt 2022/2023]]</f>
        <v>0</v>
      </c>
      <c r="CC205" s="150">
        <f t="shared" si="30"/>
        <v>0</v>
      </c>
      <c r="CD205" s="150">
        <f>IF(Tabel2[[#This Row],[LPR 1]]&gt;0,1,0)</f>
        <v>0</v>
      </c>
      <c r="CE205" s="150">
        <f>IF(Tabel2[[#This Row],[LPR 2]]&gt;0,1,0)</f>
        <v>0</v>
      </c>
      <c r="CF205" s="150">
        <f>IF(Tabel2[[#This Row],[LPR 3]]&gt;0,1,0)</f>
        <v>0</v>
      </c>
      <c r="CG205" s="150">
        <f>IF(Tabel2[[#This Row],[LPR 4]]&gt;0,1,0)</f>
        <v>0</v>
      </c>
      <c r="CH205" s="150">
        <f>IF(Tabel2[[#This Row],[LPR 5]]&gt;0,1,0)</f>
        <v>0</v>
      </c>
      <c r="CI205" s="150">
        <f>IF(Tabel2[[#This Row],[LPR 6]]&gt;0,1,0)</f>
        <v>0</v>
      </c>
      <c r="CJ205" s="150">
        <f>IF(Tabel2[[#This Row],[LPR 7]]&gt;0,1,0)</f>
        <v>0</v>
      </c>
      <c r="CK205" s="150">
        <f>IF(Tabel2[[#This Row],[LPR 8]]&gt;0,1,0)</f>
        <v>0</v>
      </c>
      <c r="CL205" s="150">
        <f>IF(Tabel2[[#This Row],[LPR 9]]&gt;0,1,0)</f>
        <v>0</v>
      </c>
      <c r="CM205" s="150">
        <f>IF(Tabel2[[#This Row],[LPR 10]]&gt;0,1,0)</f>
        <v>0</v>
      </c>
      <c r="CN205" s="150">
        <f>SUM(Tabel7[[#This Row],[sep]:[jun]])</f>
        <v>0</v>
      </c>
      <c r="CO205" s="22" t="str">
        <f t="shared" si="25"/>
        <v/>
      </c>
      <c r="CP205" s="22" t="str">
        <f t="shared" si="26"/>
        <v/>
      </c>
      <c r="CQ205" s="22" t="str">
        <f t="shared" si="27"/>
        <v/>
      </c>
      <c r="CR205" s="22" t="str">
        <f t="shared" si="28"/>
        <v/>
      </c>
      <c r="CS205" s="22" t="str">
        <f t="shared" si="29"/>
        <v/>
      </c>
    </row>
    <row r="206" spans="1:97" x14ac:dyDescent="0.3">
      <c r="A206" s="22"/>
      <c r="B206" s="22" t="s">
        <v>157</v>
      </c>
      <c r="D206" s="22" t="s">
        <v>163</v>
      </c>
      <c r="G206" s="25"/>
      <c r="H206" s="154">
        <f>Tabel2[[#This Row],[pnt t/m 2021/22]]+Tabel2[[#This Row],[pnt 2022/2023]]</f>
        <v>0</v>
      </c>
      <c r="J206">
        <v>2023</v>
      </c>
      <c r="K206" s="24">
        <f>Tabel2[[#This Row],[ijkdatum]]-Tabel2[[#This Row],[Geboren]]</f>
        <v>2023</v>
      </c>
      <c r="L206" s="26">
        <f>Tabel2[[#This Row],[TTL 1]]+Tabel2[[#This Row],[TTL 2]]+Tabel2[[#This Row],[TTL 3]]+Tabel2[[#This Row],[TTL 4]]+Tabel2[[#This Row],[TTL 5]]+Tabel2[[#This Row],[TTL 6]]+Tabel2[[#This Row],[TTL 7]]+Tabel2[[#This Row],[TTL 8]]+Tabel2[[#This Row],[TTL 9]]+Tabel2[[#This Row],[TTL 10]]</f>
        <v>0</v>
      </c>
      <c r="M206" s="151"/>
      <c r="N206" s="31"/>
      <c r="O206">
        <v>1</v>
      </c>
      <c r="S206" s="27">
        <f>SUM(Tabel2[[#This Row],[V 1]]*10+Tabel2[[#This Row],[GT 1]])/Tabel2[[#This Row],[AW 1]]*10+Tabel2[[#This Row],[BONUS 1]]</f>
        <v>0</v>
      </c>
      <c r="U206">
        <v>1</v>
      </c>
      <c r="Y206" s="27">
        <f>SUM(Tabel2[[#This Row],[V 2]]*10+Tabel2[[#This Row],[GT 2]])/Tabel2[[#This Row],[AW 2]]*10+Tabel2[[#This Row],[BONUS 2]]</f>
        <v>0</v>
      </c>
      <c r="AA206">
        <v>1</v>
      </c>
      <c r="AE206" s="27">
        <f>SUM(Tabel2[[#This Row],[V 3]]*10+Tabel2[[#This Row],[GT 3]])/Tabel2[[#This Row],[AW 3]]*10+Tabel2[[#This Row],[BONUS 3]]</f>
        <v>0</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Y206">
        <v>1</v>
      </c>
      <c r="BC206" s="27">
        <f>SUM(Tabel2[[#This Row],[V 7]]*10+Tabel2[[#This Row],[GT 7]])/Tabel2[[#This Row],[AW 7]]*10+Tabel2[[#This Row],[BONUS 7]]</f>
        <v>0</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 t="shared" si="31"/>
        <v>geen actie</v>
      </c>
      <c r="CA206" s="150">
        <f>Tabel2[[#This Row],[pnt t/m 2021/22]]</f>
        <v>0</v>
      </c>
      <c r="CB206" s="150">
        <f>Tabel2[[#This Row],[pnt 2022/2023]]</f>
        <v>0</v>
      </c>
      <c r="CC206" s="150">
        <f t="shared" si="30"/>
        <v>0</v>
      </c>
      <c r="CD206" s="150">
        <f>IF(Tabel2[[#This Row],[LPR 1]]&gt;0,1,0)</f>
        <v>0</v>
      </c>
      <c r="CE206" s="150">
        <f>IF(Tabel2[[#This Row],[LPR 2]]&gt;0,1,0)</f>
        <v>0</v>
      </c>
      <c r="CF206" s="150">
        <f>IF(Tabel2[[#This Row],[LPR 3]]&gt;0,1,0)</f>
        <v>0</v>
      </c>
      <c r="CG206" s="150">
        <f>IF(Tabel2[[#This Row],[LPR 4]]&gt;0,1,0)</f>
        <v>0</v>
      </c>
      <c r="CH206" s="150">
        <f>IF(Tabel2[[#This Row],[LPR 5]]&gt;0,1,0)</f>
        <v>0</v>
      </c>
      <c r="CI206" s="150">
        <f>IF(Tabel2[[#This Row],[LPR 6]]&gt;0,1,0)</f>
        <v>0</v>
      </c>
      <c r="CJ206" s="150">
        <f>IF(Tabel2[[#This Row],[LPR 7]]&gt;0,1,0)</f>
        <v>0</v>
      </c>
      <c r="CK206" s="150">
        <f>IF(Tabel2[[#This Row],[LPR 8]]&gt;0,1,0)</f>
        <v>0</v>
      </c>
      <c r="CL206" s="150">
        <f>IF(Tabel2[[#This Row],[LPR 9]]&gt;0,1,0)</f>
        <v>0</v>
      </c>
      <c r="CM206" s="150">
        <f>IF(Tabel2[[#This Row],[LPR 10]]&gt;0,1,0)</f>
        <v>0</v>
      </c>
      <c r="CN206" s="150">
        <f>SUM(Tabel7[[#This Row],[sep]:[jun]])</f>
        <v>0</v>
      </c>
      <c r="CO206" s="22" t="str">
        <f t="shared" si="25"/>
        <v/>
      </c>
      <c r="CP206" s="22" t="str">
        <f t="shared" si="26"/>
        <v/>
      </c>
      <c r="CQ206" s="22" t="str">
        <f t="shared" si="27"/>
        <v/>
      </c>
      <c r="CR206" s="22" t="str">
        <f t="shared" si="28"/>
        <v/>
      </c>
      <c r="CS206" s="22" t="str">
        <f t="shared" si="29"/>
        <v/>
      </c>
    </row>
    <row r="207" spans="1:97" x14ac:dyDescent="0.3">
      <c r="A207" s="22"/>
      <c r="B207" s="22" t="s">
        <v>157</v>
      </c>
      <c r="D207" s="22" t="s">
        <v>163</v>
      </c>
      <c r="G207" s="25"/>
      <c r="H207" s="154">
        <f>Tabel2[[#This Row],[pnt t/m 2021/22]]+Tabel2[[#This Row],[pnt 2022/2023]]</f>
        <v>0</v>
      </c>
      <c r="J207">
        <v>2023</v>
      </c>
      <c r="K207" s="24">
        <f>Tabel2[[#This Row],[ijkdatum]]-Tabel2[[#This Row],[Geboren]]</f>
        <v>2023</v>
      </c>
      <c r="L207" s="26">
        <f>Tabel2[[#This Row],[TTL 1]]+Tabel2[[#This Row],[TTL 2]]+Tabel2[[#This Row],[TTL 3]]+Tabel2[[#This Row],[TTL 4]]+Tabel2[[#This Row],[TTL 5]]+Tabel2[[#This Row],[TTL 6]]+Tabel2[[#This Row],[TTL 7]]+Tabel2[[#This Row],[TTL 8]]+Tabel2[[#This Row],[TTL 9]]+Tabel2[[#This Row],[TTL 10]]</f>
        <v>0</v>
      </c>
      <c r="M207" s="151"/>
      <c r="N207" s="31"/>
      <c r="O207">
        <v>1</v>
      </c>
      <c r="S207" s="27">
        <f>SUM(Tabel2[[#This Row],[V 1]]*10+Tabel2[[#This Row],[GT 1]])/Tabel2[[#This Row],[AW 1]]*10+Tabel2[[#This Row],[BONUS 1]]</f>
        <v>0</v>
      </c>
      <c r="U207">
        <v>1</v>
      </c>
      <c r="Y207" s="27">
        <f>SUM(Tabel2[[#This Row],[V 2]]*10+Tabel2[[#This Row],[GT 2]])/Tabel2[[#This Row],[AW 2]]*10+Tabel2[[#This Row],[BONUS 2]]</f>
        <v>0</v>
      </c>
      <c r="AA207">
        <v>1</v>
      </c>
      <c r="AE207" s="27">
        <f>SUM(Tabel2[[#This Row],[V 3]]*10+Tabel2[[#This Row],[GT 3]])/Tabel2[[#This Row],[AW 3]]*10+Tabel2[[#This Row],[BONUS 3]]</f>
        <v>0</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30">
        <f>Tabel2[[#This Row],[Diploma]]-Tabel2[[#This Row],[Uitgeschreven]]</f>
        <v>0</v>
      </c>
      <c r="BY207" s="14" t="str">
        <f t="shared" si="31"/>
        <v>geen actie</v>
      </c>
      <c r="CA207" s="150">
        <f>Tabel2[[#This Row],[pnt t/m 2021/22]]</f>
        <v>0</v>
      </c>
      <c r="CB207" s="150">
        <f>Tabel2[[#This Row],[pnt 2022/2023]]</f>
        <v>0</v>
      </c>
      <c r="CC207" s="150">
        <f t="shared" si="30"/>
        <v>0</v>
      </c>
      <c r="CD207" s="150">
        <f>IF(Tabel2[[#This Row],[LPR 1]]&gt;0,1,0)</f>
        <v>0</v>
      </c>
      <c r="CE207" s="150">
        <f>IF(Tabel2[[#This Row],[LPR 2]]&gt;0,1,0)</f>
        <v>0</v>
      </c>
      <c r="CF207" s="150">
        <f>IF(Tabel2[[#This Row],[LPR 3]]&gt;0,1,0)</f>
        <v>0</v>
      </c>
      <c r="CG207" s="150">
        <f>IF(Tabel2[[#This Row],[LPR 4]]&gt;0,1,0)</f>
        <v>0</v>
      </c>
      <c r="CH207" s="150">
        <f>IF(Tabel2[[#This Row],[LPR 5]]&gt;0,1,0)</f>
        <v>0</v>
      </c>
      <c r="CI207" s="150">
        <f>IF(Tabel2[[#This Row],[LPR 6]]&gt;0,1,0)</f>
        <v>0</v>
      </c>
      <c r="CJ207" s="150">
        <f>IF(Tabel2[[#This Row],[LPR 7]]&gt;0,1,0)</f>
        <v>0</v>
      </c>
      <c r="CK207" s="150">
        <f>IF(Tabel2[[#This Row],[LPR 8]]&gt;0,1,0)</f>
        <v>0</v>
      </c>
      <c r="CL207" s="150">
        <f>IF(Tabel2[[#This Row],[LPR 9]]&gt;0,1,0)</f>
        <v>0</v>
      </c>
      <c r="CM207" s="150">
        <f>IF(Tabel2[[#This Row],[LPR 10]]&gt;0,1,0)</f>
        <v>0</v>
      </c>
      <c r="CN207" s="150">
        <f>SUM(Tabel7[[#This Row],[sep]:[jun]])</f>
        <v>0</v>
      </c>
      <c r="CO207" s="22" t="str">
        <f t="shared" si="25"/>
        <v/>
      </c>
      <c r="CP207" s="22" t="str">
        <f t="shared" si="26"/>
        <v/>
      </c>
      <c r="CQ207" s="22" t="str">
        <f t="shared" si="27"/>
        <v/>
      </c>
      <c r="CR207" s="22" t="str">
        <f t="shared" si="28"/>
        <v/>
      </c>
      <c r="CS207" s="22" t="str">
        <f t="shared" si="29"/>
        <v/>
      </c>
    </row>
    <row r="208" spans="1:97" x14ac:dyDescent="0.3">
      <c r="A208" s="22"/>
      <c r="B208" s="22" t="s">
        <v>157</v>
      </c>
      <c r="D208" s="22" t="s">
        <v>163</v>
      </c>
      <c r="H208" s="154">
        <f>Tabel2[[#This Row],[pnt t/m 2021/22]]+Tabel2[[#This Row],[pnt 2022/2023]]</f>
        <v>0</v>
      </c>
      <c r="J208">
        <v>2023</v>
      </c>
      <c r="K208" s="24">
        <f>Tabel2[[#This Row],[ijkdatum]]-Tabel2[[#This Row],[Geboren]]</f>
        <v>2023</v>
      </c>
      <c r="L208" s="26">
        <f>Tabel2[[#This Row],[TTL 1]]+Tabel2[[#This Row],[TTL 2]]+Tabel2[[#This Row],[TTL 3]]+Tabel2[[#This Row],[TTL 4]]+Tabel2[[#This Row],[TTL 5]]+Tabel2[[#This Row],[TTL 6]]+Tabel2[[#This Row],[TTL 7]]+Tabel2[[#This Row],[TTL 8]]+Tabel2[[#This Row],[TTL 9]]+Tabel2[[#This Row],[TTL 10]]</f>
        <v>0</v>
      </c>
      <c r="M208" s="151"/>
      <c r="N208" s="31"/>
      <c r="O208">
        <v>1</v>
      </c>
      <c r="S208" s="27">
        <f>SUM(Tabel2[[#This Row],[V 1]]*10+Tabel2[[#This Row],[GT 1]])/Tabel2[[#This Row],[AW 1]]*10+Tabel2[[#This Row],[BONUS 1]]</f>
        <v>0</v>
      </c>
      <c r="U208">
        <v>1</v>
      </c>
      <c r="Y208" s="27">
        <f>SUM(Tabel2[[#This Row],[V 2]]*10+Tabel2[[#This Row],[GT 2]])/Tabel2[[#This Row],[AW 2]]*10+Tabel2[[#This Row],[BONUS 2]]</f>
        <v>0</v>
      </c>
      <c r="AA208">
        <v>1</v>
      </c>
      <c r="AE208" s="27">
        <f>SUM(Tabel2[[#This Row],[V 3]]*10+Tabel2[[#This Row],[GT 3]])/Tabel2[[#This Row],[AW 3]]*10+Tabel2[[#This Row],[BONUS 3]]</f>
        <v>0</v>
      </c>
      <c r="AG208">
        <v>1</v>
      </c>
      <c r="AK208" s="27">
        <f>SUM(Tabel2[[#This Row],[V 4]]*10+Tabel2[[#This Row],[GT 4]])/Tabel2[[#This Row],[AW 4]]*10+Tabel2[[#This Row],[BONUS 4]]</f>
        <v>0</v>
      </c>
      <c r="AM208">
        <v>1</v>
      </c>
      <c r="AQ208" s="27">
        <f>SUM(Tabel2[[#This Row],[V 5]]*10+Tabel2[[#This Row],[GT 5]])/Tabel2[[#This Row],[AW 5]]*10+Tabel2[[#This Row],[BONUS 5]]</f>
        <v>0</v>
      </c>
      <c r="AS208">
        <v>1</v>
      </c>
      <c r="AW208" s="27">
        <f>SUM(Tabel2[[#This Row],[V 6]]*10+Tabel2[[#This Row],[GT 6]])/Tabel2[[#This Row],[AW 6]]*10+Tabel2[[#This Row],[BONUS 6]]</f>
        <v>0</v>
      </c>
      <c r="AY208">
        <v>1</v>
      </c>
      <c r="BC208" s="27">
        <f>SUM(Tabel2[[#This Row],[V 7]]*10+Tabel2[[#This Row],[GT 7]])/Tabel2[[#This Row],[AW 7]]*10+Tabel2[[#This Row],[BONUS 7]]</f>
        <v>0</v>
      </c>
      <c r="BE208">
        <v>1</v>
      </c>
      <c r="BI208" s="27">
        <f>SUM(Tabel2[[#This Row],[V 8]]*10+Tabel2[[#This Row],[GT 8]])/Tabel2[[#This Row],[AW 8]]*10+Tabel2[[#This Row],[BONUS 8]]</f>
        <v>0</v>
      </c>
      <c r="BK208">
        <v>1</v>
      </c>
      <c r="BO208" s="27">
        <f>SUM(Tabel2[[#This Row],[V 9]]*10+Tabel2[[#This Row],[GT 9]])/Tabel2[[#This Row],[AW 9]]*10+Tabel2[[#This Row],[BONUS 9]]</f>
        <v>0</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8" s="22">
        <v>0</v>
      </c>
      <c r="BX208" s="30">
        <f>Tabel2[[#This Row],[Diploma]]-Tabel2[[#This Row],[Uitgeschreven]]</f>
        <v>0</v>
      </c>
      <c r="BY208" s="14" t="str">
        <f t="shared" si="31"/>
        <v>geen actie</v>
      </c>
      <c r="CA208" s="150">
        <f>Tabel2[[#This Row],[pnt t/m 2021/22]]</f>
        <v>0</v>
      </c>
      <c r="CB208" s="150">
        <f>Tabel2[[#This Row],[pnt 2022/2023]]</f>
        <v>0</v>
      </c>
      <c r="CC208" s="150">
        <f t="shared" si="30"/>
        <v>0</v>
      </c>
      <c r="CD208" s="150">
        <f>IF(Tabel2[[#This Row],[LPR 1]]&gt;0,1,0)</f>
        <v>0</v>
      </c>
      <c r="CE208" s="150">
        <f>IF(Tabel2[[#This Row],[LPR 2]]&gt;0,1,0)</f>
        <v>0</v>
      </c>
      <c r="CF208" s="150">
        <f>IF(Tabel2[[#This Row],[LPR 3]]&gt;0,1,0)</f>
        <v>0</v>
      </c>
      <c r="CG208" s="150">
        <f>IF(Tabel2[[#This Row],[LPR 4]]&gt;0,1,0)</f>
        <v>0</v>
      </c>
      <c r="CH208" s="150">
        <f>IF(Tabel2[[#This Row],[LPR 5]]&gt;0,1,0)</f>
        <v>0</v>
      </c>
      <c r="CI208" s="150">
        <f>IF(Tabel2[[#This Row],[LPR 6]]&gt;0,1,0)</f>
        <v>0</v>
      </c>
      <c r="CJ208" s="150">
        <f>IF(Tabel2[[#This Row],[LPR 7]]&gt;0,1,0)</f>
        <v>0</v>
      </c>
      <c r="CK208" s="150">
        <f>IF(Tabel2[[#This Row],[LPR 8]]&gt;0,1,0)</f>
        <v>0</v>
      </c>
      <c r="CL208" s="150">
        <f>IF(Tabel2[[#This Row],[LPR 9]]&gt;0,1,0)</f>
        <v>0</v>
      </c>
      <c r="CM208" s="150">
        <f>IF(Tabel2[[#This Row],[LPR 10]]&gt;0,1,0)</f>
        <v>0</v>
      </c>
      <c r="CN208" s="150">
        <f>SUM(Tabel7[[#This Row],[sep]:[jun]])</f>
        <v>0</v>
      </c>
      <c r="CO208" s="22" t="str">
        <f t="shared" si="25"/>
        <v/>
      </c>
      <c r="CP208" s="22" t="str">
        <f t="shared" si="26"/>
        <v/>
      </c>
      <c r="CQ208" s="22" t="str">
        <f t="shared" si="27"/>
        <v/>
      </c>
      <c r="CR208" s="22" t="str">
        <f t="shared" si="28"/>
        <v/>
      </c>
      <c r="CS208" s="22" t="str">
        <f t="shared" si="29"/>
        <v/>
      </c>
    </row>
    <row r="209" spans="1:97" x14ac:dyDescent="0.3">
      <c r="A209" s="22"/>
      <c r="B209" s="22" t="s">
        <v>157</v>
      </c>
      <c r="D209" s="22" t="s">
        <v>163</v>
      </c>
      <c r="H209" s="154">
        <f>Tabel2[[#This Row],[pnt t/m 2021/22]]+Tabel2[[#This Row],[pnt 2022/2023]]</f>
        <v>0</v>
      </c>
      <c r="J209">
        <v>2023</v>
      </c>
      <c r="K209" s="24">
        <f>Tabel2[[#This Row],[ijkdatum]]-Tabel2[[#This Row],[Geboren]]</f>
        <v>2023</v>
      </c>
      <c r="L209" s="26">
        <f>Tabel2[[#This Row],[TTL 1]]+Tabel2[[#This Row],[TTL 2]]+Tabel2[[#This Row],[TTL 3]]+Tabel2[[#This Row],[TTL 4]]+Tabel2[[#This Row],[TTL 5]]+Tabel2[[#This Row],[TTL 6]]+Tabel2[[#This Row],[TTL 7]]+Tabel2[[#This Row],[TTL 8]]+Tabel2[[#This Row],[TTL 9]]+Tabel2[[#This Row],[TTL 10]]</f>
        <v>0</v>
      </c>
      <c r="M209" s="151"/>
      <c r="N209" s="31"/>
      <c r="O209">
        <v>1</v>
      </c>
      <c r="S209" s="27">
        <f>SUM(Tabel2[[#This Row],[V 1]]*10+Tabel2[[#This Row],[GT 1]])/Tabel2[[#This Row],[AW 1]]*10+Tabel2[[#This Row],[BONUS 1]]</f>
        <v>0</v>
      </c>
      <c r="U209">
        <v>1</v>
      </c>
      <c r="Y209" s="27">
        <f>SUM(Tabel2[[#This Row],[V 2]]*10+Tabel2[[#This Row],[GT 2]])/Tabel2[[#This Row],[AW 2]]*10+Tabel2[[#This Row],[BONUS 2]]</f>
        <v>0</v>
      </c>
      <c r="AA209">
        <v>1</v>
      </c>
      <c r="AE209" s="27">
        <f>SUM(Tabel2[[#This Row],[V 3]]*10+Tabel2[[#This Row],[GT 3]])/Tabel2[[#This Row],[AW 3]]*10+Tabel2[[#This Row],[BONUS 3]]</f>
        <v>0</v>
      </c>
      <c r="AG209">
        <v>1</v>
      </c>
      <c r="AK209" s="27">
        <f>SUM(Tabel2[[#This Row],[V 4]]*10+Tabel2[[#This Row],[GT 4]])/Tabel2[[#This Row],[AW 4]]*10+Tabel2[[#This Row],[BONUS 4]]</f>
        <v>0</v>
      </c>
      <c r="AM209">
        <v>1</v>
      </c>
      <c r="AQ209" s="27">
        <f>SUM(Tabel2[[#This Row],[V 5]]*10+Tabel2[[#This Row],[GT 5]])/Tabel2[[#This Row],[AW 5]]*10+Tabel2[[#This Row],[BONUS 5]]</f>
        <v>0</v>
      </c>
      <c r="AS209">
        <v>1</v>
      </c>
      <c r="AW209" s="27">
        <f>SUM(Tabel2[[#This Row],[V 6]]*10+Tabel2[[#This Row],[GT 6]])/Tabel2[[#This Row],[AW 6]]*10+Tabel2[[#This Row],[BONUS 6]]</f>
        <v>0</v>
      </c>
      <c r="AY209">
        <v>1</v>
      </c>
      <c r="BC209" s="27">
        <f>SUM(Tabel2[[#This Row],[V 7]]*10+Tabel2[[#This Row],[GT 7]])/Tabel2[[#This Row],[AW 7]]*10+Tabel2[[#This Row],[BONUS 7]]</f>
        <v>0</v>
      </c>
      <c r="BE209">
        <v>1</v>
      </c>
      <c r="BI209" s="27">
        <f>SUM(Tabel2[[#This Row],[V 8]]*10+Tabel2[[#This Row],[GT 8]])/Tabel2[[#This Row],[AW 8]]*10+Tabel2[[#This Row],[BONUS 8]]</f>
        <v>0</v>
      </c>
      <c r="BK209">
        <v>1</v>
      </c>
      <c r="BO209" s="27">
        <f>SUM(Tabel2[[#This Row],[V 9]]*10+Tabel2[[#This Row],[GT 9]])/Tabel2[[#This Row],[AW 9]]*10+Tabel2[[#This Row],[BONUS 9]]</f>
        <v>0</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9" s="22">
        <v>0</v>
      </c>
      <c r="BX209" s="30">
        <f>Tabel2[[#This Row],[Diploma]]-Tabel2[[#This Row],[Uitgeschreven]]</f>
        <v>0</v>
      </c>
      <c r="BY209" s="14" t="str">
        <f t="shared" si="31"/>
        <v>geen actie</v>
      </c>
      <c r="CA209" s="150">
        <f>Tabel2[[#This Row],[pnt t/m 2021/22]]</f>
        <v>0</v>
      </c>
      <c r="CB209" s="150">
        <f>Tabel2[[#This Row],[pnt 2022/2023]]</f>
        <v>0</v>
      </c>
      <c r="CC209" s="150">
        <f t="shared" si="30"/>
        <v>0</v>
      </c>
      <c r="CD209" s="150">
        <f>IF(Tabel2[[#This Row],[LPR 1]]&gt;0,1,0)</f>
        <v>0</v>
      </c>
      <c r="CE209" s="150">
        <f>IF(Tabel2[[#This Row],[LPR 2]]&gt;0,1,0)</f>
        <v>0</v>
      </c>
      <c r="CF209" s="150">
        <f>IF(Tabel2[[#This Row],[LPR 3]]&gt;0,1,0)</f>
        <v>0</v>
      </c>
      <c r="CG209" s="150">
        <f>IF(Tabel2[[#This Row],[LPR 4]]&gt;0,1,0)</f>
        <v>0</v>
      </c>
      <c r="CH209" s="150">
        <f>IF(Tabel2[[#This Row],[LPR 5]]&gt;0,1,0)</f>
        <v>0</v>
      </c>
      <c r="CI209" s="150">
        <f>IF(Tabel2[[#This Row],[LPR 6]]&gt;0,1,0)</f>
        <v>0</v>
      </c>
      <c r="CJ209" s="150">
        <f>IF(Tabel2[[#This Row],[LPR 7]]&gt;0,1,0)</f>
        <v>0</v>
      </c>
      <c r="CK209" s="150">
        <f>IF(Tabel2[[#This Row],[LPR 8]]&gt;0,1,0)</f>
        <v>0</v>
      </c>
      <c r="CL209" s="150">
        <f>IF(Tabel2[[#This Row],[LPR 9]]&gt;0,1,0)</f>
        <v>0</v>
      </c>
      <c r="CM209" s="150">
        <f>IF(Tabel2[[#This Row],[LPR 10]]&gt;0,1,0)</f>
        <v>0</v>
      </c>
      <c r="CN209" s="150">
        <f>SUM(Tabel7[[#This Row],[sep]:[jun]])</f>
        <v>0</v>
      </c>
      <c r="CO209" s="22" t="str">
        <f t="shared" si="25"/>
        <v/>
      </c>
      <c r="CP209" s="22" t="str">
        <f t="shared" si="26"/>
        <v/>
      </c>
      <c r="CQ209" s="22" t="str">
        <f t="shared" si="27"/>
        <v/>
      </c>
      <c r="CR209" s="22" t="str">
        <f t="shared" si="28"/>
        <v/>
      </c>
      <c r="CS209" s="22" t="str">
        <f t="shared" si="29"/>
        <v/>
      </c>
    </row>
    <row r="210" spans="1:97" x14ac:dyDescent="0.3">
      <c r="A210" s="22"/>
      <c r="B210" s="22" t="s">
        <v>157</v>
      </c>
      <c r="D210" s="22" t="s">
        <v>163</v>
      </c>
      <c r="H210" s="154">
        <f>Tabel2[[#This Row],[pnt t/m 2021/22]]+Tabel2[[#This Row],[pnt 2022/2023]]</f>
        <v>0</v>
      </c>
      <c r="J210">
        <v>2023</v>
      </c>
      <c r="K210" s="24">
        <f>Tabel2[[#This Row],[ijkdatum]]-Tabel2[[#This Row],[Geboren]]</f>
        <v>2023</v>
      </c>
      <c r="L210" s="26">
        <f>Tabel2[[#This Row],[TTL 1]]+Tabel2[[#This Row],[TTL 2]]+Tabel2[[#This Row],[TTL 3]]+Tabel2[[#This Row],[TTL 4]]+Tabel2[[#This Row],[TTL 5]]+Tabel2[[#This Row],[TTL 6]]+Tabel2[[#This Row],[TTL 7]]+Tabel2[[#This Row],[TTL 8]]+Tabel2[[#This Row],[TTL 9]]+Tabel2[[#This Row],[TTL 10]]</f>
        <v>0</v>
      </c>
      <c r="M210" s="151"/>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0" s="22">
        <v>0</v>
      </c>
      <c r="BX210" s="30">
        <f>Tabel2[[#This Row],[Diploma]]-Tabel2[[#This Row],[Uitgeschreven]]</f>
        <v>0</v>
      </c>
      <c r="BY210" s="14" t="str">
        <f t="shared" si="31"/>
        <v>geen actie</v>
      </c>
      <c r="CA210" s="150">
        <f>Tabel2[[#This Row],[pnt t/m 2021/22]]</f>
        <v>0</v>
      </c>
      <c r="CB210" s="150">
        <f>Tabel2[[#This Row],[pnt 2022/2023]]</f>
        <v>0</v>
      </c>
      <c r="CC210" s="150">
        <f t="shared" si="30"/>
        <v>0</v>
      </c>
      <c r="CD210" s="150">
        <f>IF(Tabel2[[#This Row],[LPR 1]]&gt;0,1,0)</f>
        <v>0</v>
      </c>
      <c r="CE210" s="150">
        <f>IF(Tabel2[[#This Row],[LPR 2]]&gt;0,1,0)</f>
        <v>0</v>
      </c>
      <c r="CF210" s="150">
        <f>IF(Tabel2[[#This Row],[LPR 3]]&gt;0,1,0)</f>
        <v>0</v>
      </c>
      <c r="CG210" s="150">
        <f>IF(Tabel2[[#This Row],[LPR 4]]&gt;0,1,0)</f>
        <v>0</v>
      </c>
      <c r="CH210" s="150">
        <f>IF(Tabel2[[#This Row],[LPR 5]]&gt;0,1,0)</f>
        <v>0</v>
      </c>
      <c r="CI210" s="150">
        <f>IF(Tabel2[[#This Row],[LPR 6]]&gt;0,1,0)</f>
        <v>0</v>
      </c>
      <c r="CJ210" s="150">
        <f>IF(Tabel2[[#This Row],[LPR 7]]&gt;0,1,0)</f>
        <v>0</v>
      </c>
      <c r="CK210" s="150">
        <f>IF(Tabel2[[#This Row],[LPR 8]]&gt;0,1,0)</f>
        <v>0</v>
      </c>
      <c r="CL210" s="150">
        <f>IF(Tabel2[[#This Row],[LPR 9]]&gt;0,1,0)</f>
        <v>0</v>
      </c>
      <c r="CM210" s="150">
        <f>IF(Tabel2[[#This Row],[LPR 10]]&gt;0,1,0)</f>
        <v>0</v>
      </c>
      <c r="CN210" s="150">
        <f>SUM(Tabel7[[#This Row],[sep]:[jun]])</f>
        <v>0</v>
      </c>
      <c r="CO210" s="22" t="str">
        <f t="shared" si="25"/>
        <v/>
      </c>
      <c r="CP210" s="22" t="str">
        <f t="shared" si="26"/>
        <v/>
      </c>
      <c r="CQ210" s="22" t="str">
        <f t="shared" si="27"/>
        <v/>
      </c>
      <c r="CR210" s="22" t="str">
        <f t="shared" si="28"/>
        <v/>
      </c>
      <c r="CS210" s="22" t="str">
        <f t="shared" si="29"/>
        <v/>
      </c>
    </row>
    <row r="211" spans="1:97" x14ac:dyDescent="0.3">
      <c r="A211" s="22"/>
      <c r="B211" s="22" t="s">
        <v>157</v>
      </c>
      <c r="D211" s="22" t="s">
        <v>163</v>
      </c>
      <c r="H211" s="154">
        <f>Tabel2[[#This Row],[pnt t/m 2021/22]]+Tabel2[[#This Row],[pnt 2022/2023]]</f>
        <v>0</v>
      </c>
      <c r="J211">
        <v>2023</v>
      </c>
      <c r="K211" s="24">
        <f>Tabel2[[#This Row],[ijkdatum]]-Tabel2[[#This Row],[Geboren]]</f>
        <v>2023</v>
      </c>
      <c r="L211" s="26">
        <f>Tabel2[[#This Row],[TTL 1]]+Tabel2[[#This Row],[TTL 2]]+Tabel2[[#This Row],[TTL 3]]+Tabel2[[#This Row],[TTL 4]]+Tabel2[[#This Row],[TTL 5]]+Tabel2[[#This Row],[TTL 6]]+Tabel2[[#This Row],[TTL 7]]+Tabel2[[#This Row],[TTL 8]]+Tabel2[[#This Row],[TTL 9]]+Tabel2[[#This Row],[TTL 10]]</f>
        <v>0</v>
      </c>
      <c r="M211" s="151"/>
      <c r="N211" s="31"/>
      <c r="O211">
        <v>1</v>
      </c>
      <c r="S211" s="27">
        <f>SUM(Tabel2[[#This Row],[V 1]]*10+Tabel2[[#This Row],[GT 1]])/Tabel2[[#This Row],[AW 1]]*10+Tabel2[[#This Row],[BONUS 1]]</f>
        <v>0</v>
      </c>
      <c r="U211">
        <v>1</v>
      </c>
      <c r="Y211" s="27">
        <f>SUM(Tabel2[[#This Row],[V 2]]*10+Tabel2[[#This Row],[GT 2]])/Tabel2[[#This Row],[AW 2]]*10+Tabel2[[#This Row],[BONUS 2]]</f>
        <v>0</v>
      </c>
      <c r="AA211">
        <v>1</v>
      </c>
      <c r="AE211" s="27">
        <f>SUM(Tabel2[[#This Row],[V 3]]*10+Tabel2[[#This Row],[GT 3]])/Tabel2[[#This Row],[AW 3]]*10+Tabel2[[#This Row],[BONUS 3]]</f>
        <v>0</v>
      </c>
      <c r="AG211">
        <v>1</v>
      </c>
      <c r="AK211" s="27">
        <f>SUM(Tabel2[[#This Row],[V 4]]*10+Tabel2[[#This Row],[GT 4]])/Tabel2[[#This Row],[AW 4]]*10+Tabel2[[#This Row],[BONUS 4]]</f>
        <v>0</v>
      </c>
      <c r="AM211">
        <v>1</v>
      </c>
      <c r="AQ211" s="27">
        <f>SUM(Tabel2[[#This Row],[V 5]]*10+Tabel2[[#This Row],[GT 5]])/Tabel2[[#This Row],[AW 5]]*10+Tabel2[[#This Row],[BONUS 5]]</f>
        <v>0</v>
      </c>
      <c r="AS211">
        <v>1</v>
      </c>
      <c r="AW211" s="27">
        <f>SUM(Tabel2[[#This Row],[V 6]]*10+Tabel2[[#This Row],[GT 6]])/Tabel2[[#This Row],[AW 6]]*10+Tabel2[[#This Row],[BONUS 6]]</f>
        <v>0</v>
      </c>
      <c r="AY211">
        <v>1</v>
      </c>
      <c r="BC211" s="27">
        <f>SUM(Tabel2[[#This Row],[V 7]]*10+Tabel2[[#This Row],[GT 7]])/Tabel2[[#This Row],[AW 7]]*10+Tabel2[[#This Row],[BONUS 7]]</f>
        <v>0</v>
      </c>
      <c r="BE211">
        <v>1</v>
      </c>
      <c r="BI211" s="27">
        <f>SUM(Tabel2[[#This Row],[V 8]]*10+Tabel2[[#This Row],[GT 8]])/Tabel2[[#This Row],[AW 8]]*10+Tabel2[[#This Row],[BONUS 8]]</f>
        <v>0</v>
      </c>
      <c r="BK211">
        <v>1</v>
      </c>
      <c r="BO211" s="27">
        <f>SUM(Tabel2[[#This Row],[V 9]]*10+Tabel2[[#This Row],[GT 9]])/Tabel2[[#This Row],[AW 9]]*10+Tabel2[[#This Row],[BONUS 9]]</f>
        <v>0</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1" s="22">
        <v>0</v>
      </c>
      <c r="BX211" s="30">
        <f>Tabel2[[#This Row],[Diploma]]-Tabel2[[#This Row],[Uitgeschreven]]</f>
        <v>0</v>
      </c>
      <c r="BY211" s="14" t="str">
        <f t="shared" si="31"/>
        <v>geen actie</v>
      </c>
      <c r="CA211" s="150">
        <f>Tabel2[[#This Row],[pnt t/m 2021/22]]</f>
        <v>0</v>
      </c>
      <c r="CB211" s="150">
        <f>Tabel2[[#This Row],[pnt 2022/2023]]</f>
        <v>0</v>
      </c>
      <c r="CC211" s="150">
        <f t="shared" si="30"/>
        <v>0</v>
      </c>
      <c r="CD211" s="150">
        <f>IF(Tabel2[[#This Row],[LPR 1]]&gt;0,1,0)</f>
        <v>0</v>
      </c>
      <c r="CE211" s="150">
        <f>IF(Tabel2[[#This Row],[LPR 2]]&gt;0,1,0)</f>
        <v>0</v>
      </c>
      <c r="CF211" s="150">
        <f>IF(Tabel2[[#This Row],[LPR 3]]&gt;0,1,0)</f>
        <v>0</v>
      </c>
      <c r="CG211" s="150">
        <f>IF(Tabel2[[#This Row],[LPR 4]]&gt;0,1,0)</f>
        <v>0</v>
      </c>
      <c r="CH211" s="150">
        <f>IF(Tabel2[[#This Row],[LPR 5]]&gt;0,1,0)</f>
        <v>0</v>
      </c>
      <c r="CI211" s="150">
        <f>IF(Tabel2[[#This Row],[LPR 6]]&gt;0,1,0)</f>
        <v>0</v>
      </c>
      <c r="CJ211" s="150">
        <f>IF(Tabel2[[#This Row],[LPR 7]]&gt;0,1,0)</f>
        <v>0</v>
      </c>
      <c r="CK211" s="150">
        <f>IF(Tabel2[[#This Row],[LPR 8]]&gt;0,1,0)</f>
        <v>0</v>
      </c>
      <c r="CL211" s="150">
        <f>IF(Tabel2[[#This Row],[LPR 9]]&gt;0,1,0)</f>
        <v>0</v>
      </c>
      <c r="CM211" s="150">
        <f>IF(Tabel2[[#This Row],[LPR 10]]&gt;0,1,0)</f>
        <v>0</v>
      </c>
      <c r="CN211" s="150">
        <f>SUM(Tabel7[[#This Row],[sep]:[jun]])</f>
        <v>0</v>
      </c>
      <c r="CO211" s="22" t="str">
        <f t="shared" si="25"/>
        <v/>
      </c>
      <c r="CP211" s="22" t="str">
        <f t="shared" si="26"/>
        <v/>
      </c>
      <c r="CQ211" s="22" t="str">
        <f t="shared" si="27"/>
        <v/>
      </c>
      <c r="CR211" s="22" t="str">
        <f t="shared" si="28"/>
        <v/>
      </c>
      <c r="CS211" s="22" t="str">
        <f t="shared" si="29"/>
        <v/>
      </c>
    </row>
    <row r="212" spans="1:97" x14ac:dyDescent="0.3">
      <c r="A212" s="22"/>
      <c r="B212" s="22" t="s">
        <v>157</v>
      </c>
      <c r="D212" s="22" t="s">
        <v>163</v>
      </c>
      <c r="H212" s="27">
        <f>Tabel2[[#This Row],[pnt t/m 2021/22]]+Tabel2[[#This Row],[pnt 2022/2023]]</f>
        <v>0</v>
      </c>
      <c r="J212">
        <v>2023</v>
      </c>
      <c r="K212" s="24">
        <f>Tabel2[[#This Row],[ijkdatum]]-Tabel2[[#This Row],[Geboren]]</f>
        <v>2023</v>
      </c>
      <c r="L212" s="26">
        <f>Tabel2[[#This Row],[TTL 1]]+Tabel2[[#This Row],[TTL 2]]+Tabel2[[#This Row],[TTL 3]]+Tabel2[[#This Row],[TTL 4]]+Tabel2[[#This Row],[TTL 5]]+Tabel2[[#This Row],[TTL 6]]+Tabel2[[#This Row],[TTL 7]]+Tabel2[[#This Row],[TTL 8]]+Tabel2[[#This Row],[TTL 9]]+Tabel2[[#This Row],[TTL 10]]</f>
        <v>0</v>
      </c>
      <c r="M212" s="157"/>
      <c r="N212" s="31"/>
      <c r="O212">
        <v>1</v>
      </c>
      <c r="S212" s="157">
        <f>SUM(Tabel2[[#This Row],[V 1]]*10+Tabel2[[#This Row],[GT 1]])/Tabel2[[#This Row],[AW 1]]*10+Tabel2[[#This Row],[BONUS 1]]</f>
        <v>0</v>
      </c>
      <c r="U212">
        <v>1</v>
      </c>
      <c r="Y212" s="27">
        <f>SUM(Tabel2[[#This Row],[V 2]]*10+Tabel2[[#This Row],[GT 2]])/Tabel2[[#This Row],[AW 2]]*10+Tabel2[[#This Row],[BONUS 2]]</f>
        <v>0</v>
      </c>
      <c r="AA212">
        <v>1</v>
      </c>
      <c r="AE212" s="27">
        <f>SUM(Tabel2[[#This Row],[V 3]]*10+Tabel2[[#This Row],[GT 3]])/Tabel2[[#This Row],[AW 3]]*10+Tabel2[[#This Row],[BONUS 3]]</f>
        <v>0</v>
      </c>
      <c r="AG212">
        <v>1</v>
      </c>
      <c r="AK212" s="27">
        <f>SUM(Tabel2[[#This Row],[V 4]]*10+Tabel2[[#This Row],[GT 4]])/Tabel2[[#This Row],[AW 4]]*10+Tabel2[[#This Row],[BONUS 4]]</f>
        <v>0</v>
      </c>
      <c r="AM212">
        <v>1</v>
      </c>
      <c r="AQ212" s="27">
        <f>SUM(Tabel2[[#This Row],[V 5]]*10+Tabel2[[#This Row],[GT 5]])/Tabel2[[#This Row],[AW 5]]*10+Tabel2[[#This Row],[BONUS 5]]</f>
        <v>0</v>
      </c>
      <c r="AS212">
        <v>1</v>
      </c>
      <c r="AW212" s="27">
        <f>SUM(Tabel2[[#This Row],[V 6]]*10+Tabel2[[#This Row],[GT 6]])/Tabel2[[#This Row],[AW 6]]*10+Tabel2[[#This Row],[BONUS 6]]</f>
        <v>0</v>
      </c>
      <c r="AY212">
        <v>1</v>
      </c>
      <c r="BC212" s="27">
        <f>SUM(Tabel2[[#This Row],[V 7]]*10+Tabel2[[#This Row],[GT 7]])/Tabel2[[#This Row],[AW 7]]*10+Tabel2[[#This Row],[BONUS 7]]</f>
        <v>0</v>
      </c>
      <c r="BE212">
        <v>1</v>
      </c>
      <c r="BI212" s="27">
        <f>SUM(Tabel2[[#This Row],[V 8]]*10+Tabel2[[#This Row],[GT 8]])/Tabel2[[#This Row],[AW 8]]*10+Tabel2[[#This Row],[BONUS 8]]</f>
        <v>0</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2" s="22">
        <v>0</v>
      </c>
      <c r="BX212" s="22">
        <f>Tabel2[[#This Row],[Diploma]]-Tabel2[[#This Row],[Uitgeschreven]]</f>
        <v>0</v>
      </c>
      <c r="BY212" s="22" t="str">
        <f t="shared" si="31"/>
        <v>geen actie</v>
      </c>
      <c r="CA212" s="150">
        <f>Tabel2[[#This Row],[pnt t/m 2021/22]]</f>
        <v>0</v>
      </c>
      <c r="CB212" s="150">
        <f>Tabel2[[#This Row],[pnt 2022/2023]]</f>
        <v>0</v>
      </c>
      <c r="CC212" s="150">
        <f t="shared" si="30"/>
        <v>0</v>
      </c>
      <c r="CD212" s="150">
        <f>IF(Tabel2[[#This Row],[LPR 1]]&gt;0,1,0)</f>
        <v>0</v>
      </c>
      <c r="CE212" s="150">
        <f>IF(Tabel2[[#This Row],[LPR 2]]&gt;0,1,0)</f>
        <v>0</v>
      </c>
      <c r="CF212" s="150">
        <f>IF(Tabel2[[#This Row],[LPR 3]]&gt;0,1,0)</f>
        <v>0</v>
      </c>
      <c r="CG212" s="150">
        <f>IF(Tabel2[[#This Row],[LPR 4]]&gt;0,1,0)</f>
        <v>0</v>
      </c>
      <c r="CH212" s="150">
        <f>IF(Tabel2[[#This Row],[LPR 5]]&gt;0,1,0)</f>
        <v>0</v>
      </c>
      <c r="CI212" s="150">
        <f>IF(Tabel2[[#This Row],[LPR 6]]&gt;0,1,0)</f>
        <v>0</v>
      </c>
      <c r="CJ212" s="150">
        <f>IF(Tabel2[[#This Row],[LPR 7]]&gt;0,1,0)</f>
        <v>0</v>
      </c>
      <c r="CK212" s="150">
        <f>IF(Tabel2[[#This Row],[LPR 8]]&gt;0,1,0)</f>
        <v>0</v>
      </c>
      <c r="CL212" s="150">
        <f>IF(Tabel2[[#This Row],[LPR 9]]&gt;0,1,0)</f>
        <v>0</v>
      </c>
      <c r="CM212" s="150">
        <f>IF(Tabel2[[#This Row],[LPR 10]]&gt;0,1,0)</f>
        <v>0</v>
      </c>
      <c r="CN212" s="150">
        <f>SUM(Tabel7[[#This Row],[sep]:[jun]])</f>
        <v>0</v>
      </c>
      <c r="CO212" s="22" t="str">
        <f t="shared" si="25"/>
        <v/>
      </c>
      <c r="CP212" s="22" t="str">
        <f t="shared" si="26"/>
        <v/>
      </c>
      <c r="CQ212" s="22" t="str">
        <f t="shared" si="27"/>
        <v/>
      </c>
      <c r="CR212" s="22" t="str">
        <f t="shared" si="28"/>
        <v/>
      </c>
      <c r="CS212" s="22" t="str">
        <f t="shared" si="29"/>
        <v/>
      </c>
    </row>
    <row r="213" spans="1:97" x14ac:dyDescent="0.3">
      <c r="A213" s="22"/>
      <c r="B213" s="22" t="s">
        <v>157</v>
      </c>
      <c r="D213" s="22" t="s">
        <v>163</v>
      </c>
      <c r="H213" s="154">
        <f>Tabel2[[#This Row],[pnt t/m 2021/22]]+Tabel2[[#This Row],[pnt 2022/2023]]</f>
        <v>0</v>
      </c>
      <c r="J213">
        <v>2023</v>
      </c>
      <c r="K213" s="24">
        <f>Tabel2[[#This Row],[ijkdatum]]-Tabel2[[#This Row],[Geboren]]</f>
        <v>2023</v>
      </c>
      <c r="L213" s="26">
        <f>Tabel2[[#This Row],[TTL 1]]+Tabel2[[#This Row],[TTL 2]]+Tabel2[[#This Row],[TTL 3]]+Tabel2[[#This Row],[TTL 4]]+Tabel2[[#This Row],[TTL 5]]+Tabel2[[#This Row],[TTL 6]]+Tabel2[[#This Row],[TTL 7]]+Tabel2[[#This Row],[TTL 8]]+Tabel2[[#This Row],[TTL 9]]+Tabel2[[#This Row],[TTL 10]]</f>
        <v>0</v>
      </c>
      <c r="M213" s="151"/>
      <c r="N213" s="31"/>
      <c r="O213">
        <v>1</v>
      </c>
      <c r="S213" s="27">
        <f>SUM(Tabel2[[#This Row],[V 1]]*10+Tabel2[[#This Row],[GT 1]])/Tabel2[[#This Row],[AW 1]]*10+Tabel2[[#This Row],[BONUS 1]]</f>
        <v>0</v>
      </c>
      <c r="U213">
        <v>1</v>
      </c>
      <c r="Y213" s="27">
        <f>SUM(Tabel2[[#This Row],[V 2]]*10+Tabel2[[#This Row],[GT 2]])/Tabel2[[#This Row],[AW 2]]*10+Tabel2[[#This Row],[BONUS 2]]</f>
        <v>0</v>
      </c>
      <c r="AA213">
        <v>1</v>
      </c>
      <c r="AE213" s="27">
        <f>SUM(Tabel2[[#This Row],[V 3]]*10+Tabel2[[#This Row],[GT 3]])/Tabel2[[#This Row],[AW 3]]*10+Tabel2[[#This Row],[BONUS 3]]</f>
        <v>0</v>
      </c>
      <c r="AG213">
        <v>1</v>
      </c>
      <c r="AK213" s="27">
        <f>SUM(Tabel2[[#This Row],[V 4]]*10+Tabel2[[#This Row],[GT 4]])/Tabel2[[#This Row],[AW 4]]*10+Tabel2[[#This Row],[BONUS 4]]</f>
        <v>0</v>
      </c>
      <c r="AM213">
        <v>1</v>
      </c>
      <c r="AQ213" s="27">
        <f>SUM(Tabel2[[#This Row],[V 5]]*10+Tabel2[[#This Row],[GT 5]])/Tabel2[[#This Row],[AW 5]]*10+Tabel2[[#This Row],[BONUS 5]]</f>
        <v>0</v>
      </c>
      <c r="AS213">
        <v>1</v>
      </c>
      <c r="AW213" s="27">
        <f>SUM(Tabel2[[#This Row],[V 6]]*10+Tabel2[[#This Row],[GT 6]])/Tabel2[[#This Row],[AW 6]]*10+Tabel2[[#This Row],[BONUS 6]]</f>
        <v>0</v>
      </c>
      <c r="AY213">
        <v>1</v>
      </c>
      <c r="BC213" s="27">
        <f>SUM(Tabel2[[#This Row],[V 7]]*10+Tabel2[[#This Row],[GT 7]])/Tabel2[[#This Row],[AW 7]]*10+Tabel2[[#This Row],[BONUS 7]]</f>
        <v>0</v>
      </c>
      <c r="BE213">
        <v>1</v>
      </c>
      <c r="BI213" s="27">
        <f>SUM(Tabel2[[#This Row],[V 8]]*10+Tabel2[[#This Row],[GT 8]])/Tabel2[[#This Row],[AW 8]]*10+Tabel2[[#This Row],[BONUS 8]]</f>
        <v>0</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3" s="22">
        <v>0</v>
      </c>
      <c r="BX213" s="30">
        <f>Tabel2[[#This Row],[Diploma]]-Tabel2[[#This Row],[Uitgeschreven]]</f>
        <v>0</v>
      </c>
      <c r="BY213" s="14" t="str">
        <f t="shared" si="31"/>
        <v>geen actie</v>
      </c>
      <c r="CA213" s="150">
        <f>Tabel2[[#This Row],[pnt t/m 2021/22]]</f>
        <v>0</v>
      </c>
      <c r="CB213" s="150">
        <f>Tabel2[[#This Row],[pnt 2022/2023]]</f>
        <v>0</v>
      </c>
      <c r="CC213" s="150">
        <f t="shared" si="30"/>
        <v>0</v>
      </c>
      <c r="CD213" s="150">
        <f>IF(Tabel2[[#This Row],[LPR 1]]&gt;0,1,0)</f>
        <v>0</v>
      </c>
      <c r="CE213" s="150">
        <f>IF(Tabel2[[#This Row],[LPR 2]]&gt;0,1,0)</f>
        <v>0</v>
      </c>
      <c r="CF213" s="150">
        <f>IF(Tabel2[[#This Row],[LPR 3]]&gt;0,1,0)</f>
        <v>0</v>
      </c>
      <c r="CG213" s="150">
        <f>IF(Tabel2[[#This Row],[LPR 4]]&gt;0,1,0)</f>
        <v>0</v>
      </c>
      <c r="CH213" s="150">
        <f>IF(Tabel2[[#This Row],[LPR 5]]&gt;0,1,0)</f>
        <v>0</v>
      </c>
      <c r="CI213" s="150">
        <f>IF(Tabel2[[#This Row],[LPR 6]]&gt;0,1,0)</f>
        <v>0</v>
      </c>
      <c r="CJ213" s="150">
        <f>IF(Tabel2[[#This Row],[LPR 7]]&gt;0,1,0)</f>
        <v>0</v>
      </c>
      <c r="CK213" s="150">
        <f>IF(Tabel2[[#This Row],[LPR 8]]&gt;0,1,0)</f>
        <v>0</v>
      </c>
      <c r="CL213" s="150">
        <f>IF(Tabel2[[#This Row],[LPR 9]]&gt;0,1,0)</f>
        <v>0</v>
      </c>
      <c r="CM213" s="150">
        <f>IF(Tabel2[[#This Row],[LPR 10]]&gt;0,1,0)</f>
        <v>0</v>
      </c>
      <c r="CN213" s="150">
        <f>SUM(Tabel7[[#This Row],[sep]:[jun]])</f>
        <v>0</v>
      </c>
      <c r="CO213" s="22" t="str">
        <f t="shared" si="25"/>
        <v/>
      </c>
      <c r="CP213" s="22" t="str">
        <f t="shared" si="26"/>
        <v/>
      </c>
      <c r="CQ213" s="22" t="str">
        <f t="shared" si="27"/>
        <v/>
      </c>
      <c r="CR213" s="22" t="str">
        <f t="shared" si="28"/>
        <v/>
      </c>
      <c r="CS213" s="22" t="str">
        <f t="shared" si="29"/>
        <v/>
      </c>
    </row>
    <row r="214" spans="1:97" x14ac:dyDescent="0.3">
      <c r="A214" s="22"/>
      <c r="B214" s="22" t="s">
        <v>157</v>
      </c>
      <c r="D214" s="22" t="s">
        <v>163</v>
      </c>
      <c r="H214" s="154">
        <f>Tabel2[[#This Row],[pnt t/m 2021/22]]+Tabel2[[#This Row],[pnt 2022/2023]]</f>
        <v>0</v>
      </c>
      <c r="J214">
        <v>2023</v>
      </c>
      <c r="K214" s="24">
        <f>Tabel2[[#This Row],[ijkdatum]]-Tabel2[[#This Row],[Geboren]]</f>
        <v>2023</v>
      </c>
      <c r="L214" s="26">
        <f>Tabel2[[#This Row],[TTL 1]]+Tabel2[[#This Row],[TTL 2]]+Tabel2[[#This Row],[TTL 3]]+Tabel2[[#This Row],[TTL 4]]+Tabel2[[#This Row],[TTL 5]]+Tabel2[[#This Row],[TTL 6]]+Tabel2[[#This Row],[TTL 7]]+Tabel2[[#This Row],[TTL 8]]+Tabel2[[#This Row],[TTL 9]]+Tabel2[[#This Row],[TTL 10]]</f>
        <v>0</v>
      </c>
      <c r="M214" s="151"/>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Y214">
        <v>1</v>
      </c>
      <c r="BC214" s="27">
        <f>SUM(Tabel2[[#This Row],[V 7]]*10+Tabel2[[#This Row],[GT 7]])/Tabel2[[#This Row],[AW 7]]*10+Tabel2[[#This Row],[BONUS 7]]</f>
        <v>0</v>
      </c>
      <c r="BE214">
        <v>1</v>
      </c>
      <c r="BI214" s="27">
        <f>SUM(Tabel2[[#This Row],[V 8]]*10+Tabel2[[#This Row],[GT 8]])/Tabel2[[#This Row],[AW 8]]*10+Tabel2[[#This Row],[BONUS 8]]</f>
        <v>0</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4" s="22">
        <v>0</v>
      </c>
      <c r="BX214" s="30">
        <f>Tabel2[[#This Row],[Diploma]]-Tabel2[[#This Row],[Uitgeschreven]]</f>
        <v>0</v>
      </c>
      <c r="BY214" s="14" t="str">
        <f t="shared" si="31"/>
        <v>geen actie</v>
      </c>
      <c r="CA214" s="150">
        <f>Tabel2[[#This Row],[pnt t/m 2021/22]]</f>
        <v>0</v>
      </c>
      <c r="CB214" s="150">
        <f>Tabel2[[#This Row],[pnt 2022/2023]]</f>
        <v>0</v>
      </c>
      <c r="CC214" s="150">
        <f t="shared" si="30"/>
        <v>0</v>
      </c>
      <c r="CD214" s="150">
        <f>IF(Tabel2[[#This Row],[LPR 1]]&gt;0,1,0)</f>
        <v>0</v>
      </c>
      <c r="CE214" s="150">
        <f>IF(Tabel2[[#This Row],[LPR 2]]&gt;0,1,0)</f>
        <v>0</v>
      </c>
      <c r="CF214" s="150">
        <f>IF(Tabel2[[#This Row],[LPR 3]]&gt;0,1,0)</f>
        <v>0</v>
      </c>
      <c r="CG214" s="150">
        <f>IF(Tabel2[[#This Row],[LPR 4]]&gt;0,1,0)</f>
        <v>0</v>
      </c>
      <c r="CH214" s="150">
        <f>IF(Tabel2[[#This Row],[LPR 5]]&gt;0,1,0)</f>
        <v>0</v>
      </c>
      <c r="CI214" s="150">
        <f>IF(Tabel2[[#This Row],[LPR 6]]&gt;0,1,0)</f>
        <v>0</v>
      </c>
      <c r="CJ214" s="150">
        <f>IF(Tabel2[[#This Row],[LPR 7]]&gt;0,1,0)</f>
        <v>0</v>
      </c>
      <c r="CK214" s="150">
        <f>IF(Tabel2[[#This Row],[LPR 8]]&gt;0,1,0)</f>
        <v>0</v>
      </c>
      <c r="CL214" s="150">
        <f>IF(Tabel2[[#This Row],[LPR 9]]&gt;0,1,0)</f>
        <v>0</v>
      </c>
      <c r="CM214" s="150">
        <f>IF(Tabel2[[#This Row],[LPR 10]]&gt;0,1,0)</f>
        <v>0</v>
      </c>
      <c r="CN214" s="150">
        <f>SUM(Tabel7[[#This Row],[sep]:[jun]])</f>
        <v>0</v>
      </c>
      <c r="CO214" s="22" t="str">
        <f t="shared" si="25"/>
        <v/>
      </c>
      <c r="CP214" s="22" t="str">
        <f t="shared" si="26"/>
        <v/>
      </c>
      <c r="CQ214" s="22" t="str">
        <f t="shared" si="27"/>
        <v/>
      </c>
      <c r="CR214" s="22" t="str">
        <f t="shared" si="28"/>
        <v/>
      </c>
      <c r="CS214" s="22" t="str">
        <f t="shared" si="29"/>
        <v/>
      </c>
    </row>
    <row r="215" spans="1:97" x14ac:dyDescent="0.3">
      <c r="A215" s="22"/>
      <c r="B215" s="22" t="s">
        <v>157</v>
      </c>
      <c r="D215" s="22" t="s">
        <v>163</v>
      </c>
      <c r="H215" s="154">
        <f>Tabel2[[#This Row],[pnt t/m 2021/22]]+Tabel2[[#This Row],[pnt 2022/2023]]</f>
        <v>0</v>
      </c>
      <c r="J215">
        <v>2023</v>
      </c>
      <c r="K215" s="24">
        <f>Tabel2[[#This Row],[ijkdatum]]-Tabel2[[#This Row],[Geboren]]</f>
        <v>2023</v>
      </c>
      <c r="L215" s="26">
        <f>Tabel2[[#This Row],[TTL 1]]+Tabel2[[#This Row],[TTL 2]]+Tabel2[[#This Row],[TTL 3]]+Tabel2[[#This Row],[TTL 4]]+Tabel2[[#This Row],[TTL 5]]+Tabel2[[#This Row],[TTL 6]]+Tabel2[[#This Row],[TTL 7]]+Tabel2[[#This Row],[TTL 8]]+Tabel2[[#This Row],[TTL 9]]+Tabel2[[#This Row],[TTL 10]]</f>
        <v>0</v>
      </c>
      <c r="M215" s="151"/>
      <c r="N215" s="31"/>
      <c r="O215">
        <v>1</v>
      </c>
      <c r="S215" s="27">
        <f>SUM(Tabel2[[#This Row],[V 1]]*10+Tabel2[[#This Row],[GT 1]])/Tabel2[[#This Row],[AW 1]]*10+Tabel2[[#This Row],[BONUS 1]]</f>
        <v>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30">
        <f>Tabel2[[#This Row],[Diploma]]-Tabel2[[#This Row],[Uitgeschreven]]</f>
        <v>0</v>
      </c>
      <c r="BY215" s="14" t="str">
        <f t="shared" si="31"/>
        <v>geen actie</v>
      </c>
      <c r="CA215" s="150">
        <f>Tabel2[[#This Row],[pnt t/m 2021/22]]</f>
        <v>0</v>
      </c>
      <c r="CB215" s="150">
        <f>Tabel2[[#This Row],[pnt 2022/2023]]</f>
        <v>0</v>
      </c>
      <c r="CC215" s="150">
        <f t="shared" si="30"/>
        <v>0</v>
      </c>
      <c r="CD215" s="150">
        <f>IF(Tabel2[[#This Row],[LPR 1]]&gt;0,1,0)</f>
        <v>0</v>
      </c>
      <c r="CE215" s="150">
        <f>IF(Tabel2[[#This Row],[LPR 2]]&gt;0,1,0)</f>
        <v>0</v>
      </c>
      <c r="CF215" s="150">
        <f>IF(Tabel2[[#This Row],[LPR 3]]&gt;0,1,0)</f>
        <v>0</v>
      </c>
      <c r="CG215" s="150">
        <f>IF(Tabel2[[#This Row],[LPR 4]]&gt;0,1,0)</f>
        <v>0</v>
      </c>
      <c r="CH215" s="150">
        <f>IF(Tabel2[[#This Row],[LPR 5]]&gt;0,1,0)</f>
        <v>0</v>
      </c>
      <c r="CI215" s="150">
        <f>IF(Tabel2[[#This Row],[LPR 6]]&gt;0,1,0)</f>
        <v>0</v>
      </c>
      <c r="CJ215" s="150">
        <f>IF(Tabel2[[#This Row],[LPR 7]]&gt;0,1,0)</f>
        <v>0</v>
      </c>
      <c r="CK215" s="150">
        <f>IF(Tabel2[[#This Row],[LPR 8]]&gt;0,1,0)</f>
        <v>0</v>
      </c>
      <c r="CL215" s="150">
        <f>IF(Tabel2[[#This Row],[LPR 9]]&gt;0,1,0)</f>
        <v>0</v>
      </c>
      <c r="CM215" s="150">
        <f>IF(Tabel2[[#This Row],[LPR 10]]&gt;0,1,0)</f>
        <v>0</v>
      </c>
      <c r="CN215" s="150">
        <f>SUM(Tabel7[[#This Row],[sep]:[jun]])</f>
        <v>0</v>
      </c>
      <c r="CO215" s="22" t="str">
        <f t="shared" si="25"/>
        <v/>
      </c>
      <c r="CP215" s="22" t="str">
        <f t="shared" si="26"/>
        <v/>
      </c>
      <c r="CQ215" s="22" t="str">
        <f t="shared" si="27"/>
        <v/>
      </c>
      <c r="CR215" s="22" t="str">
        <f t="shared" si="28"/>
        <v/>
      </c>
      <c r="CS215" s="22" t="str">
        <f t="shared" si="29"/>
        <v/>
      </c>
    </row>
    <row r="216" spans="1:97" x14ac:dyDescent="0.3">
      <c r="A216" s="22"/>
      <c r="B216" s="22" t="s">
        <v>157</v>
      </c>
      <c r="D216" s="22" t="s">
        <v>163</v>
      </c>
      <c r="H216" s="154">
        <f>Tabel2[[#This Row],[pnt t/m 2021/22]]+Tabel2[[#This Row],[pnt 2022/2023]]</f>
        <v>0</v>
      </c>
      <c r="J216">
        <v>2023</v>
      </c>
      <c r="K216" s="24">
        <f>Tabel2[[#This Row],[ijkdatum]]-Tabel2[[#This Row],[Geboren]]</f>
        <v>2023</v>
      </c>
      <c r="L216" s="26">
        <f>Tabel2[[#This Row],[TTL 1]]+Tabel2[[#This Row],[TTL 2]]+Tabel2[[#This Row],[TTL 3]]+Tabel2[[#This Row],[TTL 4]]+Tabel2[[#This Row],[TTL 5]]+Tabel2[[#This Row],[TTL 6]]+Tabel2[[#This Row],[TTL 7]]+Tabel2[[#This Row],[TTL 8]]+Tabel2[[#This Row],[TTL 9]]+Tabel2[[#This Row],[TTL 10]]</f>
        <v>0</v>
      </c>
      <c r="M216" s="151"/>
      <c r="N216" s="31"/>
      <c r="O216">
        <v>1</v>
      </c>
      <c r="S216" s="27">
        <f>SUM(Tabel2[[#This Row],[V 1]]*10+Tabel2[[#This Row],[GT 1]])/Tabel2[[#This Row],[AW 1]]*10+Tabel2[[#This Row],[BONUS 1]]</f>
        <v>0</v>
      </c>
      <c r="U216">
        <v>1</v>
      </c>
      <c r="Y216" s="27">
        <f>SUM(Tabel2[[#This Row],[V 2]]*10+Tabel2[[#This Row],[GT 2]])/Tabel2[[#This Row],[AW 2]]*10+Tabel2[[#This Row],[BONUS 2]]</f>
        <v>0</v>
      </c>
      <c r="AA216">
        <v>1</v>
      </c>
      <c r="AE216" s="27">
        <f>SUM(Tabel2[[#This Row],[V 3]]*10+Tabel2[[#This Row],[GT 3]])/Tabel2[[#This Row],[AW 3]]*10+Tabel2[[#This Row],[BONUS 3]]</f>
        <v>0</v>
      </c>
      <c r="AG216">
        <v>1</v>
      </c>
      <c r="AK216" s="27">
        <f>SUM(Tabel2[[#This Row],[V 4]]*10+Tabel2[[#This Row],[GT 4]])/Tabel2[[#This Row],[AW 4]]*10+Tabel2[[#This Row],[BONUS 4]]</f>
        <v>0</v>
      </c>
      <c r="AM216">
        <v>1</v>
      </c>
      <c r="AQ216" s="27">
        <f>SUM(Tabel2[[#This Row],[V 5]]*10+Tabel2[[#This Row],[GT 5]])/Tabel2[[#This Row],[AW 5]]*10+Tabel2[[#This Row],[BONUS 5]]</f>
        <v>0</v>
      </c>
      <c r="AS216">
        <v>1</v>
      </c>
      <c r="AW216" s="27">
        <f>SUM(Tabel2[[#This Row],[V 6]]*10+Tabel2[[#This Row],[GT 6]])/Tabel2[[#This Row],[AW 6]]*10+Tabel2[[#This Row],[BONUS 6]]</f>
        <v>0</v>
      </c>
      <c r="AY216">
        <v>1</v>
      </c>
      <c r="BC216" s="27">
        <f>SUM(Tabel2[[#This Row],[V 7]]*10+Tabel2[[#This Row],[GT 7]])/Tabel2[[#This Row],[AW 7]]*10+Tabel2[[#This Row],[BONUS 7]]</f>
        <v>0</v>
      </c>
      <c r="BE216">
        <v>1</v>
      </c>
      <c r="BI216" s="27">
        <f>SUM(Tabel2[[#This Row],[V 8]]*10+Tabel2[[#This Row],[GT 8]])/Tabel2[[#This Row],[AW 8]]*10+Tabel2[[#This Row],[BONUS 8]]</f>
        <v>0</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6" s="22">
        <v>0</v>
      </c>
      <c r="BX216" s="30">
        <f>Tabel2[[#This Row],[Diploma]]-Tabel2[[#This Row],[Uitgeschreven]]</f>
        <v>0</v>
      </c>
      <c r="BY216" s="14" t="str">
        <f t="shared" si="31"/>
        <v>geen actie</v>
      </c>
      <c r="CA216" s="150">
        <f>Tabel2[[#This Row],[pnt t/m 2021/22]]</f>
        <v>0</v>
      </c>
      <c r="CB216" s="150">
        <f>Tabel2[[#This Row],[pnt 2022/2023]]</f>
        <v>0</v>
      </c>
      <c r="CC216" s="150">
        <f t="shared" si="30"/>
        <v>0</v>
      </c>
      <c r="CD216" s="150">
        <f>IF(Tabel2[[#This Row],[LPR 1]]&gt;0,1,0)</f>
        <v>0</v>
      </c>
      <c r="CE216" s="150">
        <f>IF(Tabel2[[#This Row],[LPR 2]]&gt;0,1,0)</f>
        <v>0</v>
      </c>
      <c r="CF216" s="150">
        <f>IF(Tabel2[[#This Row],[LPR 3]]&gt;0,1,0)</f>
        <v>0</v>
      </c>
      <c r="CG216" s="150">
        <f>IF(Tabel2[[#This Row],[LPR 4]]&gt;0,1,0)</f>
        <v>0</v>
      </c>
      <c r="CH216" s="150">
        <f>IF(Tabel2[[#This Row],[LPR 5]]&gt;0,1,0)</f>
        <v>0</v>
      </c>
      <c r="CI216" s="150">
        <f>IF(Tabel2[[#This Row],[LPR 6]]&gt;0,1,0)</f>
        <v>0</v>
      </c>
      <c r="CJ216" s="150">
        <f>IF(Tabel2[[#This Row],[LPR 7]]&gt;0,1,0)</f>
        <v>0</v>
      </c>
      <c r="CK216" s="150">
        <f>IF(Tabel2[[#This Row],[LPR 8]]&gt;0,1,0)</f>
        <v>0</v>
      </c>
      <c r="CL216" s="150">
        <f>IF(Tabel2[[#This Row],[LPR 9]]&gt;0,1,0)</f>
        <v>0</v>
      </c>
      <c r="CM216" s="150">
        <f>IF(Tabel2[[#This Row],[LPR 10]]&gt;0,1,0)</f>
        <v>0</v>
      </c>
      <c r="CN216" s="150">
        <f>SUM(Tabel7[[#This Row],[sep]:[jun]])</f>
        <v>0</v>
      </c>
      <c r="CO216" s="22" t="str">
        <f t="shared" si="25"/>
        <v/>
      </c>
      <c r="CP216" s="22" t="str">
        <f t="shared" si="26"/>
        <v/>
      </c>
      <c r="CQ216" s="22" t="str">
        <f t="shared" si="27"/>
        <v/>
      </c>
      <c r="CR216" s="22" t="str">
        <f t="shared" si="28"/>
        <v/>
      </c>
      <c r="CS216" s="22" t="str">
        <f t="shared" si="29"/>
        <v/>
      </c>
    </row>
    <row r="217" spans="1:97" x14ac:dyDescent="0.3">
      <c r="A217" s="22"/>
      <c r="B217" s="22" t="s">
        <v>157</v>
      </c>
      <c r="D217" s="22" t="s">
        <v>163</v>
      </c>
      <c r="H217" s="154">
        <f>Tabel2[[#This Row],[pnt t/m 2021/22]]+Tabel2[[#This Row],[pnt 2022/2023]]</f>
        <v>0</v>
      </c>
      <c r="J217">
        <v>2023</v>
      </c>
      <c r="K217" s="24">
        <f>Tabel2[[#This Row],[ijkdatum]]-Tabel2[[#This Row],[Geboren]]</f>
        <v>2023</v>
      </c>
      <c r="L217" s="26">
        <f>Tabel2[[#This Row],[TTL 1]]+Tabel2[[#This Row],[TTL 2]]+Tabel2[[#This Row],[TTL 3]]+Tabel2[[#This Row],[TTL 4]]+Tabel2[[#This Row],[TTL 5]]+Tabel2[[#This Row],[TTL 6]]+Tabel2[[#This Row],[TTL 7]]+Tabel2[[#This Row],[TTL 8]]+Tabel2[[#This Row],[TTL 9]]+Tabel2[[#This Row],[TTL 10]]</f>
        <v>0</v>
      </c>
      <c r="M217" s="151"/>
      <c r="N217" s="31"/>
      <c r="O217">
        <v>1</v>
      </c>
      <c r="S217" s="27">
        <f>SUM(Tabel2[[#This Row],[V 1]]*10+Tabel2[[#This Row],[GT 1]])/Tabel2[[#This Row],[AW 1]]*10+Tabel2[[#This Row],[BONUS 1]]</f>
        <v>0</v>
      </c>
      <c r="U217">
        <v>1</v>
      </c>
      <c r="Y217" s="27">
        <f>SUM(Tabel2[[#This Row],[V 2]]*10+Tabel2[[#This Row],[GT 2]])/Tabel2[[#This Row],[AW 2]]*10+Tabel2[[#This Row],[BONUS 2]]</f>
        <v>0</v>
      </c>
      <c r="AA217">
        <v>1</v>
      </c>
      <c r="AE217" s="27">
        <f>SUM(Tabel2[[#This Row],[V 3]]*10+Tabel2[[#This Row],[GT 3]])/Tabel2[[#This Row],[AW 3]]*10+Tabel2[[#This Row],[BONUS 3]]</f>
        <v>0</v>
      </c>
      <c r="AG217">
        <v>1</v>
      </c>
      <c r="AK217" s="27">
        <f>SUM(Tabel2[[#This Row],[V 4]]*10+Tabel2[[#This Row],[GT 4]])/Tabel2[[#This Row],[AW 4]]*10+Tabel2[[#This Row],[BONUS 4]]</f>
        <v>0</v>
      </c>
      <c r="AM217">
        <v>1</v>
      </c>
      <c r="AQ217" s="27">
        <f>SUM(Tabel2[[#This Row],[V 5]]*10+Tabel2[[#This Row],[GT 5]])/Tabel2[[#This Row],[AW 5]]*10+Tabel2[[#This Row],[BONUS 5]]</f>
        <v>0</v>
      </c>
      <c r="AS217">
        <v>1</v>
      </c>
      <c r="AW217" s="27">
        <f>SUM(Tabel2[[#This Row],[V 6]]*10+Tabel2[[#This Row],[GT 6]])/Tabel2[[#This Row],[AW 6]]*10+Tabel2[[#This Row],[BONUS 6]]</f>
        <v>0</v>
      </c>
      <c r="AY217">
        <v>1</v>
      </c>
      <c r="BC217" s="27">
        <f>SUM(Tabel2[[#This Row],[V 7]]*10+Tabel2[[#This Row],[GT 7]])/Tabel2[[#This Row],[AW 7]]*10+Tabel2[[#This Row],[BONUS 7]]</f>
        <v>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7" s="22">
        <v>0</v>
      </c>
      <c r="BX217" s="30">
        <f>Tabel2[[#This Row],[Diploma]]-Tabel2[[#This Row],[Uitgeschreven]]</f>
        <v>0</v>
      </c>
      <c r="BY217" s="14" t="str">
        <f t="shared" si="31"/>
        <v>geen actie</v>
      </c>
      <c r="CA217" s="150">
        <f>Tabel2[[#This Row],[pnt t/m 2021/22]]</f>
        <v>0</v>
      </c>
      <c r="CB217" s="150">
        <f>Tabel2[[#This Row],[pnt 2022/2023]]</f>
        <v>0</v>
      </c>
      <c r="CC217" s="150">
        <f t="shared" si="30"/>
        <v>0</v>
      </c>
      <c r="CD217" s="150">
        <f>IF(Tabel2[[#This Row],[LPR 1]]&gt;0,1,0)</f>
        <v>0</v>
      </c>
      <c r="CE217" s="150">
        <f>IF(Tabel2[[#This Row],[LPR 2]]&gt;0,1,0)</f>
        <v>0</v>
      </c>
      <c r="CF217" s="150">
        <f>IF(Tabel2[[#This Row],[LPR 3]]&gt;0,1,0)</f>
        <v>0</v>
      </c>
      <c r="CG217" s="150">
        <f>IF(Tabel2[[#This Row],[LPR 4]]&gt;0,1,0)</f>
        <v>0</v>
      </c>
      <c r="CH217" s="150">
        <f>IF(Tabel2[[#This Row],[LPR 5]]&gt;0,1,0)</f>
        <v>0</v>
      </c>
      <c r="CI217" s="150">
        <f>IF(Tabel2[[#This Row],[LPR 6]]&gt;0,1,0)</f>
        <v>0</v>
      </c>
      <c r="CJ217" s="150">
        <f>IF(Tabel2[[#This Row],[LPR 7]]&gt;0,1,0)</f>
        <v>0</v>
      </c>
      <c r="CK217" s="150">
        <f>IF(Tabel2[[#This Row],[LPR 8]]&gt;0,1,0)</f>
        <v>0</v>
      </c>
      <c r="CL217" s="150">
        <f>IF(Tabel2[[#This Row],[LPR 9]]&gt;0,1,0)</f>
        <v>0</v>
      </c>
      <c r="CM217" s="150">
        <f>IF(Tabel2[[#This Row],[LPR 10]]&gt;0,1,0)</f>
        <v>0</v>
      </c>
      <c r="CN217" s="150">
        <f>SUM(Tabel7[[#This Row],[sep]:[jun]])</f>
        <v>0</v>
      </c>
      <c r="CO217" s="22" t="str">
        <f t="shared" si="25"/>
        <v/>
      </c>
      <c r="CP217" s="22" t="str">
        <f t="shared" si="26"/>
        <v/>
      </c>
      <c r="CQ217" s="22" t="str">
        <f t="shared" si="27"/>
        <v/>
      </c>
      <c r="CR217" s="22" t="str">
        <f t="shared" si="28"/>
        <v/>
      </c>
      <c r="CS217" s="22" t="str">
        <f t="shared" si="29"/>
        <v/>
      </c>
    </row>
    <row r="218" spans="1:97" x14ac:dyDescent="0.3">
      <c r="A218" s="22"/>
      <c r="B218" s="22" t="s">
        <v>157</v>
      </c>
      <c r="D218" s="22" t="s">
        <v>163</v>
      </c>
      <c r="H218" s="154">
        <f>Tabel2[[#This Row],[pnt t/m 2021/22]]+Tabel2[[#This Row],[pnt 2022/2023]]</f>
        <v>0</v>
      </c>
      <c r="J218">
        <v>2023</v>
      </c>
      <c r="K218" s="24">
        <f>Tabel2[[#This Row],[ijkdatum]]-Tabel2[[#This Row],[Geboren]]</f>
        <v>2023</v>
      </c>
      <c r="L218" s="26">
        <f>Tabel2[[#This Row],[TTL 1]]+Tabel2[[#This Row],[TTL 2]]+Tabel2[[#This Row],[TTL 3]]+Tabel2[[#This Row],[TTL 4]]+Tabel2[[#This Row],[TTL 5]]+Tabel2[[#This Row],[TTL 6]]+Tabel2[[#This Row],[TTL 7]]+Tabel2[[#This Row],[TTL 8]]+Tabel2[[#This Row],[TTL 9]]+Tabel2[[#This Row],[TTL 10]]</f>
        <v>0</v>
      </c>
      <c r="M218" s="151"/>
      <c r="N218" s="31"/>
      <c r="O218">
        <v>1</v>
      </c>
      <c r="S218" s="27">
        <f>SUM(Tabel2[[#This Row],[V 1]]*10+Tabel2[[#This Row],[GT 1]])/Tabel2[[#This Row],[AW 1]]*10+Tabel2[[#This Row],[BONUS 1]]</f>
        <v>0</v>
      </c>
      <c r="U218">
        <v>1</v>
      </c>
      <c r="Y218" s="27">
        <f>SUM(Tabel2[[#This Row],[V 2]]*10+Tabel2[[#This Row],[GT 2]])/Tabel2[[#This Row],[AW 2]]*10+Tabel2[[#This Row],[BONUS 2]]</f>
        <v>0</v>
      </c>
      <c r="AA218">
        <v>1</v>
      </c>
      <c r="AE218" s="27">
        <f>SUM(Tabel2[[#This Row],[V 3]]*10+Tabel2[[#This Row],[GT 3]])/Tabel2[[#This Row],[AW 3]]*10+Tabel2[[#This Row],[BONUS 3]]</f>
        <v>0</v>
      </c>
      <c r="AG218">
        <v>1</v>
      </c>
      <c r="AK218" s="27">
        <f>SUM(Tabel2[[#This Row],[V 4]]*10+Tabel2[[#This Row],[GT 4]])/Tabel2[[#This Row],[AW 4]]*10+Tabel2[[#This Row],[BONUS 4]]</f>
        <v>0</v>
      </c>
      <c r="AM218">
        <v>1</v>
      </c>
      <c r="AQ218" s="27">
        <f>SUM(Tabel2[[#This Row],[V 5]]*10+Tabel2[[#This Row],[GT 5]])/Tabel2[[#This Row],[AW 5]]*10+Tabel2[[#This Row],[BONUS 5]]</f>
        <v>0</v>
      </c>
      <c r="AS218">
        <v>1</v>
      </c>
      <c r="AW218" s="27">
        <f>SUM(Tabel2[[#This Row],[V 6]]*10+Tabel2[[#This Row],[GT 6]])/Tabel2[[#This Row],[AW 6]]*10+Tabel2[[#This Row],[BONUS 6]]</f>
        <v>0</v>
      </c>
      <c r="AY218">
        <v>1</v>
      </c>
      <c r="BC218" s="27">
        <f>SUM(Tabel2[[#This Row],[V 7]]*10+Tabel2[[#This Row],[GT 7]])/Tabel2[[#This Row],[AW 7]]*10+Tabel2[[#This Row],[BONUS 7]]</f>
        <v>0</v>
      </c>
      <c r="BE218">
        <v>1</v>
      </c>
      <c r="BI218" s="27">
        <f>SUM(Tabel2[[#This Row],[V 8]]*10+Tabel2[[#This Row],[GT 8]])/Tabel2[[#This Row],[AW 8]]*10+Tabel2[[#This Row],[BONUS 8]]</f>
        <v>0</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30">
        <f>Tabel2[[#This Row],[Diploma]]-Tabel2[[#This Row],[Uitgeschreven]]</f>
        <v>0</v>
      </c>
      <c r="BY218" s="14" t="str">
        <f t="shared" si="31"/>
        <v>geen actie</v>
      </c>
      <c r="CA218" s="150">
        <f>Tabel2[[#This Row],[pnt t/m 2021/22]]</f>
        <v>0</v>
      </c>
      <c r="CB218" s="150">
        <f>Tabel2[[#This Row],[pnt 2022/2023]]</f>
        <v>0</v>
      </c>
      <c r="CC218" s="150">
        <f t="shared" si="30"/>
        <v>0</v>
      </c>
      <c r="CD218" s="150">
        <f>IF(Tabel2[[#This Row],[LPR 1]]&gt;0,1,0)</f>
        <v>0</v>
      </c>
      <c r="CE218" s="150">
        <f>IF(Tabel2[[#This Row],[LPR 2]]&gt;0,1,0)</f>
        <v>0</v>
      </c>
      <c r="CF218" s="150">
        <f>IF(Tabel2[[#This Row],[LPR 3]]&gt;0,1,0)</f>
        <v>0</v>
      </c>
      <c r="CG218" s="150">
        <f>IF(Tabel2[[#This Row],[LPR 4]]&gt;0,1,0)</f>
        <v>0</v>
      </c>
      <c r="CH218" s="150">
        <f>IF(Tabel2[[#This Row],[LPR 5]]&gt;0,1,0)</f>
        <v>0</v>
      </c>
      <c r="CI218" s="150">
        <f>IF(Tabel2[[#This Row],[LPR 6]]&gt;0,1,0)</f>
        <v>0</v>
      </c>
      <c r="CJ218" s="150">
        <f>IF(Tabel2[[#This Row],[LPR 7]]&gt;0,1,0)</f>
        <v>0</v>
      </c>
      <c r="CK218" s="150">
        <f>IF(Tabel2[[#This Row],[LPR 8]]&gt;0,1,0)</f>
        <v>0</v>
      </c>
      <c r="CL218" s="150">
        <f>IF(Tabel2[[#This Row],[LPR 9]]&gt;0,1,0)</f>
        <v>0</v>
      </c>
      <c r="CM218" s="150">
        <f>IF(Tabel2[[#This Row],[LPR 10]]&gt;0,1,0)</f>
        <v>0</v>
      </c>
      <c r="CN218" s="150">
        <f>SUM(Tabel7[[#This Row],[sep]:[jun]])</f>
        <v>0</v>
      </c>
      <c r="CO218" s="22" t="str">
        <f t="shared" si="25"/>
        <v/>
      </c>
      <c r="CP218" s="22" t="str">
        <f t="shared" si="26"/>
        <v/>
      </c>
      <c r="CQ218" s="22" t="str">
        <f t="shared" si="27"/>
        <v/>
      </c>
      <c r="CR218" s="22" t="str">
        <f t="shared" si="28"/>
        <v/>
      </c>
      <c r="CS218" s="22" t="str">
        <f t="shared" si="29"/>
        <v/>
      </c>
    </row>
    <row r="219" spans="1:97" x14ac:dyDescent="0.3">
      <c r="A219" s="22"/>
      <c r="B219" s="22" t="s">
        <v>157</v>
      </c>
      <c r="D219" s="22" t="s">
        <v>163</v>
      </c>
      <c r="H219" s="154">
        <f>Tabel2[[#This Row],[pnt t/m 2021/22]]+Tabel2[[#This Row],[pnt 2022/2023]]</f>
        <v>0</v>
      </c>
      <c r="J219">
        <v>2023</v>
      </c>
      <c r="K219" s="24">
        <f>Tabel2[[#This Row],[ijkdatum]]-Tabel2[[#This Row],[Geboren]]</f>
        <v>2023</v>
      </c>
      <c r="L219" s="26">
        <f>Tabel2[[#This Row],[TTL 1]]+Tabel2[[#This Row],[TTL 2]]+Tabel2[[#This Row],[TTL 3]]+Tabel2[[#This Row],[TTL 4]]+Tabel2[[#This Row],[TTL 5]]+Tabel2[[#This Row],[TTL 6]]+Tabel2[[#This Row],[TTL 7]]+Tabel2[[#This Row],[TTL 8]]+Tabel2[[#This Row],[TTL 9]]+Tabel2[[#This Row],[TTL 10]]</f>
        <v>0</v>
      </c>
      <c r="M219" s="151"/>
      <c r="N219" s="31"/>
      <c r="O219">
        <v>1</v>
      </c>
      <c r="S219" s="27">
        <f>SUM(Tabel2[[#This Row],[V 1]]*10+Tabel2[[#This Row],[GT 1]])/Tabel2[[#This Row],[AW 1]]*10+Tabel2[[#This Row],[BONUS 1]]</f>
        <v>0</v>
      </c>
      <c r="U219">
        <v>1</v>
      </c>
      <c r="Y219" s="27">
        <f>SUM(Tabel2[[#This Row],[V 2]]*10+Tabel2[[#This Row],[GT 2]])/Tabel2[[#This Row],[AW 2]]*10+Tabel2[[#This Row],[BONUS 2]]</f>
        <v>0</v>
      </c>
      <c r="AA219">
        <v>1</v>
      </c>
      <c r="AE219" s="27">
        <f>SUM(Tabel2[[#This Row],[V 3]]*10+Tabel2[[#This Row],[GT 3]])/Tabel2[[#This Row],[AW 3]]*10+Tabel2[[#This Row],[BONUS 3]]</f>
        <v>0</v>
      </c>
      <c r="AG219">
        <v>1</v>
      </c>
      <c r="AK219" s="27">
        <f>SUM(Tabel2[[#This Row],[V 4]]*10+Tabel2[[#This Row],[GT 4]])/Tabel2[[#This Row],[AW 4]]*10+Tabel2[[#This Row],[BONUS 4]]</f>
        <v>0</v>
      </c>
      <c r="AM219">
        <v>1</v>
      </c>
      <c r="AQ219" s="27">
        <f>SUM(Tabel2[[#This Row],[V 5]]*10+Tabel2[[#This Row],[GT 5]])/Tabel2[[#This Row],[AW 5]]*10+Tabel2[[#This Row],[BONUS 5]]</f>
        <v>0</v>
      </c>
      <c r="AS219">
        <v>1</v>
      </c>
      <c r="AW219" s="27">
        <f>SUM(Tabel2[[#This Row],[V 6]]*10+Tabel2[[#This Row],[GT 6]])/Tabel2[[#This Row],[AW 6]]*10+Tabel2[[#This Row],[BONUS 6]]</f>
        <v>0</v>
      </c>
      <c r="AY219">
        <v>1</v>
      </c>
      <c r="BC219" s="27">
        <f>SUM(Tabel2[[#This Row],[V 7]]*10+Tabel2[[#This Row],[GT 7]])/Tabel2[[#This Row],[AW 7]]*10+Tabel2[[#This Row],[BONUS 7]]</f>
        <v>0</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30">
        <f>Tabel2[[#This Row],[Diploma]]-Tabel2[[#This Row],[Uitgeschreven]]</f>
        <v>0</v>
      </c>
      <c r="BY219" s="14" t="str">
        <f t="shared" si="31"/>
        <v>geen actie</v>
      </c>
      <c r="CA219" s="150">
        <f>Tabel2[[#This Row],[pnt t/m 2021/22]]</f>
        <v>0</v>
      </c>
      <c r="CB219" s="150">
        <f>Tabel2[[#This Row],[pnt 2022/2023]]</f>
        <v>0</v>
      </c>
      <c r="CC219" s="150">
        <f t="shared" si="30"/>
        <v>0</v>
      </c>
      <c r="CD219" s="150">
        <f>IF(Tabel2[[#This Row],[LPR 1]]&gt;0,1,0)</f>
        <v>0</v>
      </c>
      <c r="CE219" s="150">
        <f>IF(Tabel2[[#This Row],[LPR 2]]&gt;0,1,0)</f>
        <v>0</v>
      </c>
      <c r="CF219" s="150">
        <f>IF(Tabel2[[#This Row],[LPR 3]]&gt;0,1,0)</f>
        <v>0</v>
      </c>
      <c r="CG219" s="150">
        <f>IF(Tabel2[[#This Row],[LPR 4]]&gt;0,1,0)</f>
        <v>0</v>
      </c>
      <c r="CH219" s="150">
        <f>IF(Tabel2[[#This Row],[LPR 5]]&gt;0,1,0)</f>
        <v>0</v>
      </c>
      <c r="CI219" s="150">
        <f>IF(Tabel2[[#This Row],[LPR 6]]&gt;0,1,0)</f>
        <v>0</v>
      </c>
      <c r="CJ219" s="150">
        <f>IF(Tabel2[[#This Row],[LPR 7]]&gt;0,1,0)</f>
        <v>0</v>
      </c>
      <c r="CK219" s="150">
        <f>IF(Tabel2[[#This Row],[LPR 8]]&gt;0,1,0)</f>
        <v>0</v>
      </c>
      <c r="CL219" s="150">
        <f>IF(Tabel2[[#This Row],[LPR 9]]&gt;0,1,0)</f>
        <v>0</v>
      </c>
      <c r="CM219" s="150">
        <f>IF(Tabel2[[#This Row],[LPR 10]]&gt;0,1,0)</f>
        <v>0</v>
      </c>
      <c r="CN219" s="150">
        <f>SUM(Tabel7[[#This Row],[sep]:[jun]])</f>
        <v>0</v>
      </c>
      <c r="CO219" s="22" t="str">
        <f t="shared" si="25"/>
        <v/>
      </c>
      <c r="CP219" s="22" t="str">
        <f t="shared" si="26"/>
        <v/>
      </c>
      <c r="CQ219" s="22" t="str">
        <f t="shared" si="27"/>
        <v/>
      </c>
      <c r="CR219" s="22" t="str">
        <f t="shared" si="28"/>
        <v/>
      </c>
      <c r="CS219" s="22" t="str">
        <f t="shared" si="29"/>
        <v/>
      </c>
    </row>
    <row r="220" spans="1:97" x14ac:dyDescent="0.3">
      <c r="A220" s="22"/>
      <c r="B220" s="22" t="s">
        <v>157</v>
      </c>
      <c r="D220" s="22" t="s">
        <v>163</v>
      </c>
      <c r="H220" s="154">
        <f>Tabel2[[#This Row],[pnt t/m 2021/22]]+Tabel2[[#This Row],[pnt 2022/2023]]</f>
        <v>0</v>
      </c>
      <c r="J220">
        <v>2023</v>
      </c>
      <c r="K220" s="24">
        <f>Tabel2[[#This Row],[ijkdatum]]-Tabel2[[#This Row],[Geboren]]</f>
        <v>2023</v>
      </c>
      <c r="L220" s="26">
        <f>Tabel2[[#This Row],[TTL 1]]+Tabel2[[#This Row],[TTL 2]]+Tabel2[[#This Row],[TTL 3]]+Tabel2[[#This Row],[TTL 4]]+Tabel2[[#This Row],[TTL 5]]+Tabel2[[#This Row],[TTL 6]]+Tabel2[[#This Row],[TTL 7]]+Tabel2[[#This Row],[TTL 8]]+Tabel2[[#This Row],[TTL 9]]+Tabel2[[#This Row],[TTL 10]]</f>
        <v>0</v>
      </c>
      <c r="M220" s="151"/>
      <c r="N220" s="31"/>
      <c r="O220">
        <v>1</v>
      </c>
      <c r="S220" s="27">
        <f>SUM(Tabel2[[#This Row],[V 1]]*10+Tabel2[[#This Row],[GT 1]])/Tabel2[[#This Row],[AW 1]]*10+Tabel2[[#This Row],[BONUS 1]]</f>
        <v>0</v>
      </c>
      <c r="U220">
        <v>1</v>
      </c>
      <c r="Y220" s="27">
        <f>SUM(Tabel2[[#This Row],[V 2]]*10+Tabel2[[#This Row],[GT 2]])/Tabel2[[#This Row],[AW 2]]*10+Tabel2[[#This Row],[BONUS 2]]</f>
        <v>0</v>
      </c>
      <c r="AA220">
        <v>1</v>
      </c>
      <c r="AE220" s="27">
        <f>SUM(Tabel2[[#This Row],[V 3]]*10+Tabel2[[#This Row],[GT 3]])/Tabel2[[#This Row],[AW 3]]*10+Tabel2[[#This Row],[BONUS 3]]</f>
        <v>0</v>
      </c>
      <c r="AG220">
        <v>1</v>
      </c>
      <c r="AK220" s="27">
        <f>SUM(Tabel2[[#This Row],[V 4]]*10+Tabel2[[#This Row],[GT 4]])/Tabel2[[#This Row],[AW 4]]*10+Tabel2[[#This Row],[BONUS 4]]</f>
        <v>0</v>
      </c>
      <c r="AM220">
        <v>1</v>
      </c>
      <c r="AQ220" s="27">
        <f>SUM(Tabel2[[#This Row],[V 5]]*10+Tabel2[[#This Row],[GT 5]])/Tabel2[[#This Row],[AW 5]]*10+Tabel2[[#This Row],[BONUS 5]]</f>
        <v>0</v>
      </c>
      <c r="AS220">
        <v>1</v>
      </c>
      <c r="AW220" s="27">
        <f>SUM(Tabel2[[#This Row],[V 6]]*10+Tabel2[[#This Row],[GT 6]])/Tabel2[[#This Row],[AW 6]]*10+Tabel2[[#This Row],[BONUS 6]]</f>
        <v>0</v>
      </c>
      <c r="AY220">
        <v>1</v>
      </c>
      <c r="BC220" s="27">
        <f>SUM(Tabel2[[#This Row],[V 7]]*10+Tabel2[[#This Row],[GT 7]])/Tabel2[[#This Row],[AW 7]]*10+Tabel2[[#This Row],[BONUS 7]]</f>
        <v>0</v>
      </c>
      <c r="BE220">
        <v>1</v>
      </c>
      <c r="BI220" s="27">
        <f>SUM(Tabel2[[#This Row],[V 8]]*10+Tabel2[[#This Row],[GT 8]])/Tabel2[[#This Row],[AW 8]]*10+Tabel2[[#This Row],[BONUS 8]]</f>
        <v>0</v>
      </c>
      <c r="BK220">
        <v>1</v>
      </c>
      <c r="BO220" s="27">
        <f>SUM(Tabel2[[#This Row],[V 9]]*10+Tabel2[[#This Row],[GT 9]])/Tabel2[[#This Row],[AW 9]]*10+Tabel2[[#This Row],[BONUS 9]]</f>
        <v>0</v>
      </c>
      <c r="BQ220">
        <v>1</v>
      </c>
      <c r="BU220" s="23">
        <f>SUM(Tabel2[[#This Row],[V 10]]*10+Tabel2[[#This Row],[GT 10]])/Tabel2[[#This Row],[AW 10]]*10+Tabel2[[#This Row],[BONUS 10]]</f>
        <v>0</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0" s="22">
        <v>0</v>
      </c>
      <c r="BX220" s="30">
        <f>Tabel2[[#This Row],[Diploma]]-Tabel2[[#This Row],[Uitgeschreven]]</f>
        <v>0</v>
      </c>
      <c r="BY220" s="14" t="str">
        <f t="shared" si="31"/>
        <v>geen actie</v>
      </c>
      <c r="CB220" s="150">
        <f>Tabel2[[#This Row],[pnt 2022/2023]]</f>
        <v>0</v>
      </c>
      <c r="CC220" s="150">
        <f t="shared" ref="CC220:CC249" si="32">CA220+CB220</f>
        <v>0</v>
      </c>
      <c r="CD220" s="150">
        <f>IF(Tabel2[[#This Row],[LPR 1]]&gt;0,1,0)</f>
        <v>0</v>
      </c>
      <c r="CE220" s="150">
        <f>IF(Tabel2[[#This Row],[LPR 2]]&gt;0,1,0)</f>
        <v>0</v>
      </c>
      <c r="CF220" s="150">
        <f>IF(Tabel2[[#This Row],[LPR 3]]&gt;0,1,0)</f>
        <v>0</v>
      </c>
      <c r="CG220" s="150">
        <f>IF(Tabel2[[#This Row],[LPR 4]]&gt;0,1,0)</f>
        <v>0</v>
      </c>
      <c r="CH220" s="150">
        <f>IF(Tabel2[[#This Row],[LPR 5]]&gt;0,1,0)</f>
        <v>0</v>
      </c>
      <c r="CI220" s="150">
        <f>IF(Tabel2[[#This Row],[LPR 6]]&gt;0,1,0)</f>
        <v>0</v>
      </c>
      <c r="CJ220" s="150">
        <f>IF(Tabel2[[#This Row],[LPR 7]]&gt;0,1,0)</f>
        <v>0</v>
      </c>
      <c r="CK220" s="150">
        <f>IF(Tabel2[[#This Row],[LPR 8]]&gt;0,1,0)</f>
        <v>0</v>
      </c>
      <c r="CL220" s="150">
        <f>IF(Tabel2[[#This Row],[LPR 9]]&gt;0,1,0)</f>
        <v>0</v>
      </c>
      <c r="CM220" s="150">
        <f>IF(Tabel2[[#This Row],[LPR 10]]&gt;0,1,0)</f>
        <v>0</v>
      </c>
      <c r="CN220" s="150">
        <f>SUM(Tabel7[[#This Row],[sep]:[jun]])</f>
        <v>0</v>
      </c>
      <c r="CO220" s="22" t="str">
        <f t="shared" si="25"/>
        <v/>
      </c>
      <c r="CP220" s="22" t="str">
        <f t="shared" si="26"/>
        <v/>
      </c>
      <c r="CQ220" s="22" t="str">
        <f t="shared" si="27"/>
        <v/>
      </c>
      <c r="CR220" s="22" t="str">
        <f t="shared" si="28"/>
        <v/>
      </c>
      <c r="CS220" s="22" t="str">
        <f t="shared" si="29"/>
        <v/>
      </c>
    </row>
    <row r="221" spans="1:97" x14ac:dyDescent="0.3">
      <c r="A221" s="22"/>
      <c r="B221" s="22" t="s">
        <v>157</v>
      </c>
      <c r="D221" s="22" t="s">
        <v>163</v>
      </c>
      <c r="H221" s="154">
        <f>Tabel2[[#This Row],[pnt t/m 2021/22]]+Tabel2[[#This Row],[pnt 2022/2023]]</f>
        <v>0</v>
      </c>
      <c r="J221">
        <v>2023</v>
      </c>
      <c r="K221" s="24">
        <f>Tabel2[[#This Row],[ijkdatum]]-Tabel2[[#This Row],[Geboren]]</f>
        <v>2023</v>
      </c>
      <c r="L221" s="26">
        <f>Tabel2[[#This Row],[TTL 1]]+Tabel2[[#This Row],[TTL 2]]+Tabel2[[#This Row],[TTL 3]]+Tabel2[[#This Row],[TTL 4]]+Tabel2[[#This Row],[TTL 5]]+Tabel2[[#This Row],[TTL 6]]+Tabel2[[#This Row],[TTL 7]]+Tabel2[[#This Row],[TTL 8]]+Tabel2[[#This Row],[TTL 9]]+Tabel2[[#This Row],[TTL 10]]</f>
        <v>0</v>
      </c>
      <c r="M221" s="151"/>
      <c r="N221" s="31"/>
      <c r="O221">
        <v>1</v>
      </c>
      <c r="S221" s="27">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G221">
        <v>1</v>
      </c>
      <c r="AK221" s="27">
        <f>SUM(Tabel2[[#This Row],[V 4]]*10+Tabel2[[#This Row],[GT 4]])/Tabel2[[#This Row],[AW 4]]*10+Tabel2[[#This Row],[BONUS 4]]</f>
        <v>0</v>
      </c>
      <c r="AM221">
        <v>1</v>
      </c>
      <c r="AQ221" s="27">
        <f>SUM(Tabel2[[#This Row],[V 5]]*10+Tabel2[[#This Row],[GT 5]])/Tabel2[[#This Row],[AW 5]]*10+Tabel2[[#This Row],[BONUS 5]]</f>
        <v>0</v>
      </c>
      <c r="AS221">
        <v>1</v>
      </c>
      <c r="AW221" s="27">
        <f>SUM(Tabel2[[#This Row],[V 6]]*10+Tabel2[[#This Row],[GT 6]])/Tabel2[[#This Row],[AW 6]]*10+Tabel2[[#This Row],[BONUS 6]]</f>
        <v>0</v>
      </c>
      <c r="AY221">
        <v>1</v>
      </c>
      <c r="BC221" s="27">
        <f>SUM(Tabel2[[#This Row],[V 7]]*10+Tabel2[[#This Row],[GT 7]])/Tabel2[[#This Row],[AW 7]]*10+Tabel2[[#This Row],[BONUS 7]]</f>
        <v>0</v>
      </c>
      <c r="BE221">
        <v>1</v>
      </c>
      <c r="BI221" s="27">
        <f>SUM(Tabel2[[#This Row],[V 8]]*10+Tabel2[[#This Row],[GT 8]])/Tabel2[[#This Row],[AW 8]]*10+Tabel2[[#This Row],[BONUS 8]]</f>
        <v>0</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1" s="22">
        <v>0</v>
      </c>
      <c r="BX221" s="30">
        <f>Tabel2[[#This Row],[Diploma]]-Tabel2[[#This Row],[Uitgeschreven]]</f>
        <v>0</v>
      </c>
      <c r="BY221" s="14" t="str">
        <f t="shared" si="31"/>
        <v>geen actie</v>
      </c>
      <c r="CB221" s="150">
        <f>Tabel2[[#This Row],[pnt 2022/2023]]</f>
        <v>0</v>
      </c>
      <c r="CC221" s="150">
        <f t="shared" si="32"/>
        <v>0</v>
      </c>
      <c r="CD221" s="150">
        <f>IF(Tabel2[[#This Row],[LPR 1]]&gt;0,1,0)</f>
        <v>0</v>
      </c>
      <c r="CE221" s="150">
        <f>IF(Tabel2[[#This Row],[LPR 2]]&gt;0,1,0)</f>
        <v>0</v>
      </c>
      <c r="CF221" s="150">
        <f>IF(Tabel2[[#This Row],[LPR 3]]&gt;0,1,0)</f>
        <v>0</v>
      </c>
      <c r="CG221" s="150">
        <f>IF(Tabel2[[#This Row],[LPR 4]]&gt;0,1,0)</f>
        <v>0</v>
      </c>
      <c r="CH221" s="150">
        <f>IF(Tabel2[[#This Row],[LPR 5]]&gt;0,1,0)</f>
        <v>0</v>
      </c>
      <c r="CI221" s="150">
        <f>IF(Tabel2[[#This Row],[LPR 6]]&gt;0,1,0)</f>
        <v>0</v>
      </c>
      <c r="CJ221" s="150">
        <f>IF(Tabel2[[#This Row],[LPR 7]]&gt;0,1,0)</f>
        <v>0</v>
      </c>
      <c r="CK221" s="150">
        <f>IF(Tabel2[[#This Row],[LPR 8]]&gt;0,1,0)</f>
        <v>0</v>
      </c>
      <c r="CL221" s="150">
        <f>IF(Tabel2[[#This Row],[LPR 9]]&gt;0,1,0)</f>
        <v>0</v>
      </c>
      <c r="CM221" s="150">
        <f>IF(Tabel2[[#This Row],[LPR 10]]&gt;0,1,0)</f>
        <v>0</v>
      </c>
      <c r="CN221" s="150">
        <f>SUM(Tabel7[[#This Row],[sep]:[jun]])</f>
        <v>0</v>
      </c>
      <c r="CO221" s="22" t="str">
        <f t="shared" si="25"/>
        <v/>
      </c>
      <c r="CP221" s="22" t="str">
        <f t="shared" si="26"/>
        <v/>
      </c>
      <c r="CQ221" s="22" t="str">
        <f t="shared" si="27"/>
        <v/>
      </c>
      <c r="CR221" s="22" t="str">
        <f t="shared" si="28"/>
        <v/>
      </c>
      <c r="CS221" s="22" t="str">
        <f t="shared" si="29"/>
        <v/>
      </c>
    </row>
    <row r="222" spans="1:97" x14ac:dyDescent="0.3">
      <c r="A222" s="22"/>
      <c r="B222" s="22" t="s">
        <v>157</v>
      </c>
      <c r="D222" s="22" t="s">
        <v>163</v>
      </c>
      <c r="H222" s="154">
        <f>Tabel2[[#This Row],[pnt t/m 2021/22]]+Tabel2[[#This Row],[pnt 2022/2023]]</f>
        <v>0</v>
      </c>
      <c r="J222">
        <v>2023</v>
      </c>
      <c r="K222" s="24">
        <f>Tabel2[[#This Row],[ijkdatum]]-Tabel2[[#This Row],[Geboren]]</f>
        <v>2023</v>
      </c>
      <c r="L222" s="26">
        <f>Tabel2[[#This Row],[TTL 1]]+Tabel2[[#This Row],[TTL 2]]+Tabel2[[#This Row],[TTL 3]]+Tabel2[[#This Row],[TTL 4]]+Tabel2[[#This Row],[TTL 5]]+Tabel2[[#This Row],[TTL 6]]+Tabel2[[#This Row],[TTL 7]]+Tabel2[[#This Row],[TTL 8]]+Tabel2[[#This Row],[TTL 9]]+Tabel2[[#This Row],[TTL 10]]</f>
        <v>0</v>
      </c>
      <c r="M222" s="151"/>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M222">
        <v>1</v>
      </c>
      <c r="AQ222" s="27">
        <f>SUM(Tabel2[[#This Row],[V 5]]*10+Tabel2[[#This Row],[GT 5]])/Tabel2[[#This Row],[AW 5]]*10+Tabel2[[#This Row],[BONUS 5]]</f>
        <v>0</v>
      </c>
      <c r="AS222">
        <v>1</v>
      </c>
      <c r="AW222" s="27">
        <f>SUM(Tabel2[[#This Row],[V 6]]*10+Tabel2[[#This Row],[GT 6]])/Tabel2[[#This Row],[AW 6]]*10+Tabel2[[#This Row],[BONUS 6]]</f>
        <v>0</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 t="shared" si="31"/>
        <v>geen actie</v>
      </c>
      <c r="CB222" s="150">
        <f>Tabel2[[#This Row],[pnt 2022/2023]]</f>
        <v>0</v>
      </c>
      <c r="CC222" s="150">
        <f t="shared" si="32"/>
        <v>0</v>
      </c>
      <c r="CD222" s="150">
        <f>IF(Tabel2[[#This Row],[LPR 1]]&gt;0,1,0)</f>
        <v>0</v>
      </c>
      <c r="CE222" s="150">
        <f>IF(Tabel2[[#This Row],[LPR 2]]&gt;0,1,0)</f>
        <v>0</v>
      </c>
      <c r="CF222" s="150">
        <f>IF(Tabel2[[#This Row],[LPR 3]]&gt;0,1,0)</f>
        <v>0</v>
      </c>
      <c r="CG222" s="150">
        <f>IF(Tabel2[[#This Row],[LPR 4]]&gt;0,1,0)</f>
        <v>0</v>
      </c>
      <c r="CH222" s="150">
        <f>IF(Tabel2[[#This Row],[LPR 5]]&gt;0,1,0)</f>
        <v>0</v>
      </c>
      <c r="CI222" s="150">
        <f>IF(Tabel2[[#This Row],[LPR 6]]&gt;0,1,0)</f>
        <v>0</v>
      </c>
      <c r="CJ222" s="150">
        <f>IF(Tabel2[[#This Row],[LPR 7]]&gt;0,1,0)</f>
        <v>0</v>
      </c>
      <c r="CK222" s="150">
        <f>IF(Tabel2[[#This Row],[LPR 8]]&gt;0,1,0)</f>
        <v>0</v>
      </c>
      <c r="CL222" s="150">
        <f>IF(Tabel2[[#This Row],[LPR 9]]&gt;0,1,0)</f>
        <v>0</v>
      </c>
      <c r="CM222" s="150">
        <f>IF(Tabel2[[#This Row],[LPR 10]]&gt;0,1,0)</f>
        <v>0</v>
      </c>
      <c r="CN222" s="150">
        <f>SUM(Tabel7[[#This Row],[sep]:[jun]])</f>
        <v>0</v>
      </c>
      <c r="CO222" s="22" t="str">
        <f t="shared" si="25"/>
        <v/>
      </c>
      <c r="CP222" s="22" t="str">
        <f t="shared" si="26"/>
        <v/>
      </c>
      <c r="CQ222" s="22" t="str">
        <f t="shared" si="27"/>
        <v/>
      </c>
      <c r="CR222" s="22" t="str">
        <f t="shared" si="28"/>
        <v/>
      </c>
      <c r="CS222" s="22" t="str">
        <f t="shared" si="29"/>
        <v/>
      </c>
    </row>
    <row r="223" spans="1:97" x14ac:dyDescent="0.3">
      <c r="A223" s="22"/>
      <c r="B223" s="22" t="s">
        <v>157</v>
      </c>
      <c r="D223" s="22" t="s">
        <v>163</v>
      </c>
      <c r="H223" s="27">
        <f>Tabel2[[#This Row],[pnt t/m 2021/22]]+Tabel2[[#This Row],[pnt 2022/2023]]</f>
        <v>0</v>
      </c>
      <c r="J223">
        <v>2023</v>
      </c>
      <c r="K223" s="24">
        <f>Tabel2[[#This Row],[ijkdatum]]-Tabel2[[#This Row],[Geboren]]</f>
        <v>2023</v>
      </c>
      <c r="L223" s="26">
        <f>Tabel2[[#This Row],[TTL 1]]+Tabel2[[#This Row],[TTL 2]]+Tabel2[[#This Row],[TTL 3]]+Tabel2[[#This Row],[TTL 4]]+Tabel2[[#This Row],[TTL 5]]+Tabel2[[#This Row],[TTL 6]]+Tabel2[[#This Row],[TTL 7]]+Tabel2[[#This Row],[TTL 8]]+Tabel2[[#This Row],[TTL 9]]+Tabel2[[#This Row],[TTL 10]]</f>
        <v>0</v>
      </c>
      <c r="M223" s="157"/>
      <c r="N223" s="31"/>
      <c r="O223">
        <v>1</v>
      </c>
      <c r="S223" s="157">
        <f>SUM(Tabel2[[#This Row],[V 1]]*10+Tabel2[[#This Row],[GT 1]])/Tabel2[[#This Row],[AW 1]]*10+Tabel2[[#This Row],[BONUS 1]]</f>
        <v>0</v>
      </c>
      <c r="U223">
        <v>1</v>
      </c>
      <c r="Y223" s="157">
        <f>SUM(Tabel2[[#This Row],[V 2]]*10+Tabel2[[#This Row],[GT 2]])/Tabel2[[#This Row],[AW 2]]*10+Tabel2[[#This Row],[BONUS 2]]</f>
        <v>0</v>
      </c>
      <c r="AA223">
        <v>1</v>
      </c>
      <c r="AE223" s="157">
        <f>SUM(Tabel2[[#This Row],[V 3]]*10+Tabel2[[#This Row],[GT 3]])/Tabel2[[#This Row],[AW 3]]*10+Tabel2[[#This Row],[BONUS 3]]</f>
        <v>0</v>
      </c>
      <c r="AG223">
        <v>1</v>
      </c>
      <c r="AK223" s="157">
        <f>SUM(Tabel2[[#This Row],[V 4]]*10+Tabel2[[#This Row],[GT 4]])/Tabel2[[#This Row],[AW 4]]*10+Tabel2[[#This Row],[BONUS 4]]</f>
        <v>0</v>
      </c>
      <c r="AM223">
        <v>1</v>
      </c>
      <c r="AQ223" s="157">
        <f>SUM(Tabel2[[#This Row],[V 5]]*10+Tabel2[[#This Row],[GT 5]])/Tabel2[[#This Row],[AW 5]]*10+Tabel2[[#This Row],[BONUS 5]]</f>
        <v>0</v>
      </c>
      <c r="AS223">
        <v>1</v>
      </c>
      <c r="AW223" s="157">
        <f>SUM(Tabel2[[#This Row],[V 6]]*10+Tabel2[[#This Row],[GT 6]])/Tabel2[[#This Row],[AW 6]]*10+Tabel2[[#This Row],[BONUS 6]]</f>
        <v>0</v>
      </c>
      <c r="AY223">
        <v>1</v>
      </c>
      <c r="BC223" s="157">
        <f>SUM(Tabel2[[#This Row],[V 7]]*10+Tabel2[[#This Row],[GT 7]])/Tabel2[[#This Row],[AW 7]]*10+Tabel2[[#This Row],[BONUS 7]]</f>
        <v>0</v>
      </c>
      <c r="BE223">
        <v>1</v>
      </c>
      <c r="BI223" s="157">
        <f>SUM(Tabel2[[#This Row],[V 8]]*10+Tabel2[[#This Row],[GT 8]])/Tabel2[[#This Row],[AW 8]]*10+Tabel2[[#This Row],[BONUS 8]]</f>
        <v>0</v>
      </c>
      <c r="BK223">
        <v>1</v>
      </c>
      <c r="BO223" s="157">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3" s="22">
        <v>0</v>
      </c>
      <c r="BX223" s="22">
        <f>Tabel2[[#This Row],[Diploma]]-Tabel2[[#This Row],[Uitgeschreven]]</f>
        <v>0</v>
      </c>
      <c r="BY223" s="22" t="str">
        <f t="shared" si="31"/>
        <v>geen actie</v>
      </c>
      <c r="CB223" s="150">
        <f>Tabel2[[#This Row],[pnt 2022/2023]]</f>
        <v>0</v>
      </c>
      <c r="CC223" s="150">
        <f t="shared" si="32"/>
        <v>0</v>
      </c>
      <c r="CD223" s="150">
        <f>IF(Tabel2[[#This Row],[LPR 1]]&gt;0,1,0)</f>
        <v>0</v>
      </c>
      <c r="CE223" s="150">
        <f>IF(Tabel2[[#This Row],[LPR 2]]&gt;0,1,0)</f>
        <v>0</v>
      </c>
      <c r="CF223" s="150">
        <f>IF(Tabel2[[#This Row],[LPR 3]]&gt;0,1,0)</f>
        <v>0</v>
      </c>
      <c r="CG223" s="150">
        <f>IF(Tabel2[[#This Row],[LPR 4]]&gt;0,1,0)</f>
        <v>0</v>
      </c>
      <c r="CH223" s="150">
        <f>IF(Tabel2[[#This Row],[LPR 5]]&gt;0,1,0)</f>
        <v>0</v>
      </c>
      <c r="CI223" s="150">
        <f>IF(Tabel2[[#This Row],[LPR 6]]&gt;0,1,0)</f>
        <v>0</v>
      </c>
      <c r="CJ223" s="150">
        <f>IF(Tabel2[[#This Row],[LPR 7]]&gt;0,1,0)</f>
        <v>0</v>
      </c>
      <c r="CK223" s="150">
        <f>IF(Tabel2[[#This Row],[LPR 8]]&gt;0,1,0)</f>
        <v>0</v>
      </c>
      <c r="CL223" s="150">
        <f>IF(Tabel2[[#This Row],[LPR 9]]&gt;0,1,0)</f>
        <v>0</v>
      </c>
      <c r="CM223" s="150">
        <f>IF(Tabel2[[#This Row],[LPR 10]]&gt;0,1,0)</f>
        <v>0</v>
      </c>
      <c r="CN223" s="150">
        <f>SUM(Tabel7[[#This Row],[sep]:[jun]])</f>
        <v>0</v>
      </c>
      <c r="CO223" s="22" t="str">
        <f t="shared" si="25"/>
        <v/>
      </c>
      <c r="CP223" s="22" t="str">
        <f t="shared" si="26"/>
        <v/>
      </c>
      <c r="CQ223" s="22" t="str">
        <f t="shared" si="27"/>
        <v/>
      </c>
      <c r="CR223" s="22" t="str">
        <f t="shared" si="28"/>
        <v/>
      </c>
      <c r="CS223" s="22" t="str">
        <f t="shared" si="29"/>
        <v/>
      </c>
    </row>
    <row r="224" spans="1:97" x14ac:dyDescent="0.3">
      <c r="A224" s="22"/>
      <c r="B224" s="22" t="s">
        <v>157</v>
      </c>
      <c r="D224" s="22" t="s">
        <v>163</v>
      </c>
      <c r="H224" s="154">
        <f>Tabel2[[#This Row],[pnt t/m 2021/22]]+Tabel2[[#This Row],[pnt 2022/2023]]</f>
        <v>0</v>
      </c>
      <c r="J224">
        <v>2023</v>
      </c>
      <c r="K224" s="24">
        <f>Tabel2[[#This Row],[ijkdatum]]-Tabel2[[#This Row],[Geboren]]</f>
        <v>2023</v>
      </c>
      <c r="L224" s="26">
        <f>Tabel2[[#This Row],[TTL 1]]+Tabel2[[#This Row],[TTL 2]]+Tabel2[[#This Row],[TTL 3]]+Tabel2[[#This Row],[TTL 4]]+Tabel2[[#This Row],[TTL 5]]+Tabel2[[#This Row],[TTL 6]]+Tabel2[[#This Row],[TTL 7]]+Tabel2[[#This Row],[TTL 8]]+Tabel2[[#This Row],[TTL 9]]+Tabel2[[#This Row],[TTL 10]]</f>
        <v>0</v>
      </c>
      <c r="M224" s="151"/>
      <c r="N224" s="31"/>
      <c r="O224">
        <v>1</v>
      </c>
      <c r="S224" s="27">
        <f>SUM(Tabel2[[#This Row],[V 1]]*10+Tabel2[[#This Row],[GT 1]])/Tabel2[[#This Row],[AW 1]]*10+Tabel2[[#This Row],[BONUS 1]]</f>
        <v>0</v>
      </c>
      <c r="U224">
        <v>1</v>
      </c>
      <c r="Y224" s="27">
        <f>SUM(Tabel2[[#This Row],[V 2]]*10+Tabel2[[#This Row],[GT 2]])/Tabel2[[#This Row],[AW 2]]*10+Tabel2[[#This Row],[BONUS 2]]</f>
        <v>0</v>
      </c>
      <c r="AA224">
        <v>1</v>
      </c>
      <c r="AE224" s="27">
        <f>SUM(Tabel2[[#This Row],[V 3]]*10+Tabel2[[#This Row],[GT 3]])/Tabel2[[#This Row],[AW 3]]*10+Tabel2[[#This Row],[BONUS 3]]</f>
        <v>0</v>
      </c>
      <c r="AG224">
        <v>1</v>
      </c>
      <c r="AK224" s="27">
        <f>SUM(Tabel2[[#This Row],[V 4]]*10+Tabel2[[#This Row],[GT 4]])/Tabel2[[#This Row],[AW 4]]*10+Tabel2[[#This Row],[BONUS 4]]</f>
        <v>0</v>
      </c>
      <c r="AM224">
        <v>1</v>
      </c>
      <c r="AQ224" s="27">
        <f>SUM(Tabel2[[#This Row],[V 5]]*10+Tabel2[[#This Row],[GT 5]])/Tabel2[[#This Row],[AW 5]]*10+Tabel2[[#This Row],[BONUS 5]]</f>
        <v>0</v>
      </c>
      <c r="AS224">
        <v>1</v>
      </c>
      <c r="AW224" s="27">
        <f>SUM(Tabel2[[#This Row],[V 6]]*10+Tabel2[[#This Row],[GT 6]])/Tabel2[[#This Row],[AW 6]]*10+Tabel2[[#This Row],[BONUS 6]]</f>
        <v>0</v>
      </c>
      <c r="AY224">
        <v>1</v>
      </c>
      <c r="BC224" s="27">
        <f>SUM(Tabel2[[#This Row],[V 7]]*10+Tabel2[[#This Row],[GT 7]])/Tabel2[[#This Row],[AW 7]]*10+Tabel2[[#This Row],[BONUS 7]]</f>
        <v>0</v>
      </c>
      <c r="BE224">
        <v>1</v>
      </c>
      <c r="BI224" s="27">
        <f>SUM(Tabel2[[#This Row],[V 8]]*10+Tabel2[[#This Row],[GT 8]])/Tabel2[[#This Row],[AW 8]]*10+Tabel2[[#This Row],[BONUS 8]]</f>
        <v>0</v>
      </c>
      <c r="BK224">
        <v>1</v>
      </c>
      <c r="BO224" s="27">
        <f>SUM(Tabel2[[#This Row],[V 9]]*10+Tabel2[[#This Row],[GT 9]])/Tabel2[[#This Row],[AW 9]]*10+Tabel2[[#This Row],[BONUS 9]]</f>
        <v>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4" s="22">
        <v>0</v>
      </c>
      <c r="BX224" s="30">
        <f>Tabel2[[#This Row],[Diploma]]-Tabel2[[#This Row],[Uitgeschreven]]</f>
        <v>0</v>
      </c>
      <c r="BY224" s="14" t="str">
        <f t="shared" si="31"/>
        <v>geen actie</v>
      </c>
      <c r="CB224" s="150">
        <f>Tabel2[[#This Row],[pnt 2022/2023]]</f>
        <v>0</v>
      </c>
      <c r="CC224" s="150">
        <f t="shared" si="32"/>
        <v>0</v>
      </c>
      <c r="CD224" s="150">
        <f>IF(Tabel2[[#This Row],[LPR 1]]&gt;0,1,0)</f>
        <v>0</v>
      </c>
      <c r="CE224" s="150">
        <f>IF(Tabel2[[#This Row],[LPR 2]]&gt;0,1,0)</f>
        <v>0</v>
      </c>
      <c r="CF224" s="150">
        <f>IF(Tabel2[[#This Row],[LPR 3]]&gt;0,1,0)</f>
        <v>0</v>
      </c>
      <c r="CG224" s="150">
        <f>IF(Tabel2[[#This Row],[LPR 4]]&gt;0,1,0)</f>
        <v>0</v>
      </c>
      <c r="CH224" s="150">
        <f>IF(Tabel2[[#This Row],[LPR 5]]&gt;0,1,0)</f>
        <v>0</v>
      </c>
      <c r="CI224" s="150">
        <f>IF(Tabel2[[#This Row],[LPR 6]]&gt;0,1,0)</f>
        <v>0</v>
      </c>
      <c r="CJ224" s="150">
        <f>IF(Tabel2[[#This Row],[LPR 7]]&gt;0,1,0)</f>
        <v>0</v>
      </c>
      <c r="CK224" s="150">
        <f>IF(Tabel2[[#This Row],[LPR 8]]&gt;0,1,0)</f>
        <v>0</v>
      </c>
      <c r="CL224" s="150">
        <f>IF(Tabel2[[#This Row],[LPR 9]]&gt;0,1,0)</f>
        <v>0</v>
      </c>
      <c r="CM224" s="150">
        <f>IF(Tabel2[[#This Row],[LPR 10]]&gt;0,1,0)</f>
        <v>0</v>
      </c>
      <c r="CN224" s="150">
        <f>SUM(Tabel7[[#This Row],[sep]:[jun]])</f>
        <v>0</v>
      </c>
      <c r="CO224" s="22" t="str">
        <f t="shared" si="25"/>
        <v/>
      </c>
      <c r="CP224" s="22" t="str">
        <f t="shared" si="26"/>
        <v/>
      </c>
      <c r="CQ224" s="22" t="str">
        <f t="shared" si="27"/>
        <v/>
      </c>
      <c r="CR224" s="22" t="str">
        <f t="shared" si="28"/>
        <v/>
      </c>
      <c r="CS224" s="22" t="str">
        <f t="shared" si="29"/>
        <v/>
      </c>
    </row>
    <row r="225" spans="1:97" x14ac:dyDescent="0.3">
      <c r="A225" s="22"/>
      <c r="B225" s="22" t="s">
        <v>157</v>
      </c>
      <c r="D225" s="22" t="s">
        <v>163</v>
      </c>
      <c r="H225" s="154">
        <f>Tabel2[[#This Row],[pnt t/m 2021/22]]+Tabel2[[#This Row],[pnt 2022/2023]]</f>
        <v>0</v>
      </c>
      <c r="J225">
        <v>2023</v>
      </c>
      <c r="K225" s="24">
        <f>Tabel2[[#This Row],[ijkdatum]]-Tabel2[[#This Row],[Geboren]]</f>
        <v>2023</v>
      </c>
      <c r="L225" s="26">
        <f>Tabel2[[#This Row],[TTL 1]]+Tabel2[[#This Row],[TTL 2]]+Tabel2[[#This Row],[TTL 3]]+Tabel2[[#This Row],[TTL 4]]+Tabel2[[#This Row],[TTL 5]]+Tabel2[[#This Row],[TTL 6]]+Tabel2[[#This Row],[TTL 7]]+Tabel2[[#This Row],[TTL 8]]+Tabel2[[#This Row],[TTL 9]]+Tabel2[[#This Row],[TTL 10]]</f>
        <v>0</v>
      </c>
      <c r="M225" s="151"/>
      <c r="N225" s="31"/>
      <c r="O225">
        <v>1</v>
      </c>
      <c r="S225" s="27">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G225">
        <v>1</v>
      </c>
      <c r="AK225" s="27">
        <f>SUM(Tabel2[[#This Row],[V 4]]*10+Tabel2[[#This Row],[GT 4]])/Tabel2[[#This Row],[AW 4]]*10+Tabel2[[#This Row],[BONUS 4]]</f>
        <v>0</v>
      </c>
      <c r="AM225">
        <v>1</v>
      </c>
      <c r="AQ225" s="27">
        <f>SUM(Tabel2[[#This Row],[V 5]]*10+Tabel2[[#This Row],[GT 5]])/Tabel2[[#This Row],[AW 5]]*10+Tabel2[[#This Row],[BONUS 5]]</f>
        <v>0</v>
      </c>
      <c r="AS225">
        <v>1</v>
      </c>
      <c r="AW225" s="27">
        <f>SUM(Tabel2[[#This Row],[V 6]]*10+Tabel2[[#This Row],[GT 6]])/Tabel2[[#This Row],[AW 6]]*10+Tabel2[[#This Row],[BONUS 6]]</f>
        <v>0</v>
      </c>
      <c r="AY225">
        <v>1</v>
      </c>
      <c r="BC225" s="27">
        <f>SUM(Tabel2[[#This Row],[V 7]]*10+Tabel2[[#This Row],[GT 7]])/Tabel2[[#This Row],[AW 7]]*10+Tabel2[[#This Row],[BONUS 7]]</f>
        <v>0</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30">
        <f>Tabel2[[#This Row],[Diploma]]-Tabel2[[#This Row],[Uitgeschreven]]</f>
        <v>0</v>
      </c>
      <c r="BY225" s="14" t="str">
        <f t="shared" si="31"/>
        <v>geen actie</v>
      </c>
      <c r="CB225" s="150">
        <f>Tabel2[[#This Row],[pnt 2022/2023]]</f>
        <v>0</v>
      </c>
      <c r="CC225" s="150">
        <f t="shared" si="32"/>
        <v>0</v>
      </c>
      <c r="CD225" s="150">
        <f>IF(Tabel2[[#This Row],[LPR 1]]&gt;0,1,0)</f>
        <v>0</v>
      </c>
      <c r="CE225" s="150">
        <f>IF(Tabel2[[#This Row],[LPR 2]]&gt;0,1,0)</f>
        <v>0</v>
      </c>
      <c r="CF225" s="150">
        <f>IF(Tabel2[[#This Row],[LPR 3]]&gt;0,1,0)</f>
        <v>0</v>
      </c>
      <c r="CG225" s="150">
        <f>IF(Tabel2[[#This Row],[LPR 4]]&gt;0,1,0)</f>
        <v>0</v>
      </c>
      <c r="CH225" s="150">
        <f>IF(Tabel2[[#This Row],[LPR 5]]&gt;0,1,0)</f>
        <v>0</v>
      </c>
      <c r="CI225" s="150">
        <f>IF(Tabel2[[#This Row],[LPR 6]]&gt;0,1,0)</f>
        <v>0</v>
      </c>
      <c r="CJ225" s="150">
        <f>IF(Tabel2[[#This Row],[LPR 7]]&gt;0,1,0)</f>
        <v>0</v>
      </c>
      <c r="CK225" s="150">
        <f>IF(Tabel2[[#This Row],[LPR 8]]&gt;0,1,0)</f>
        <v>0</v>
      </c>
      <c r="CL225" s="150">
        <f>IF(Tabel2[[#This Row],[LPR 9]]&gt;0,1,0)</f>
        <v>0</v>
      </c>
      <c r="CM225" s="150">
        <f>IF(Tabel2[[#This Row],[LPR 10]]&gt;0,1,0)</f>
        <v>0</v>
      </c>
      <c r="CN225" s="150">
        <f>SUM(Tabel7[[#This Row],[sep]:[jun]])</f>
        <v>0</v>
      </c>
      <c r="CO225" s="22" t="str">
        <f t="shared" si="25"/>
        <v/>
      </c>
      <c r="CP225" s="22" t="str">
        <f t="shared" si="26"/>
        <v/>
      </c>
      <c r="CQ225" s="22" t="str">
        <f t="shared" si="27"/>
        <v/>
      </c>
      <c r="CR225" s="22" t="str">
        <f t="shared" si="28"/>
        <v/>
      </c>
      <c r="CS225" s="22" t="str">
        <f t="shared" si="29"/>
        <v/>
      </c>
    </row>
    <row r="226" spans="1:97" x14ac:dyDescent="0.3">
      <c r="A226" s="22"/>
      <c r="B226" s="22" t="s">
        <v>157</v>
      </c>
      <c r="D226" s="22" t="s">
        <v>163</v>
      </c>
      <c r="H226" s="154">
        <f>Tabel2[[#This Row],[pnt t/m 2021/22]]+Tabel2[[#This Row],[pnt 2022/2023]]</f>
        <v>0</v>
      </c>
      <c r="J226">
        <v>2023</v>
      </c>
      <c r="K226" s="24">
        <f>Tabel2[[#This Row],[ijkdatum]]-Tabel2[[#This Row],[Geboren]]</f>
        <v>2023</v>
      </c>
      <c r="L226" s="26">
        <f>Tabel2[[#This Row],[TTL 1]]+Tabel2[[#This Row],[TTL 2]]+Tabel2[[#This Row],[TTL 3]]+Tabel2[[#This Row],[TTL 4]]+Tabel2[[#This Row],[TTL 5]]+Tabel2[[#This Row],[TTL 6]]+Tabel2[[#This Row],[TTL 7]]+Tabel2[[#This Row],[TTL 8]]+Tabel2[[#This Row],[TTL 9]]+Tabel2[[#This Row],[TTL 10]]</f>
        <v>0</v>
      </c>
      <c r="M226" s="151"/>
      <c r="N226" s="31"/>
      <c r="O226">
        <v>1</v>
      </c>
      <c r="S226" s="27">
        <f>SUM(Tabel2[[#This Row],[V 1]]*10+Tabel2[[#This Row],[GT 1]])/Tabel2[[#This Row],[AW 1]]*10+Tabel2[[#This Row],[BONUS 1]]</f>
        <v>0</v>
      </c>
      <c r="U226">
        <v>1</v>
      </c>
      <c r="Y226" s="27">
        <f>SUM(Tabel2[[#This Row],[V 2]]*10+Tabel2[[#This Row],[GT 2]])/Tabel2[[#This Row],[AW 2]]*10+Tabel2[[#This Row],[BONUS 2]]</f>
        <v>0</v>
      </c>
      <c r="AA226">
        <v>1</v>
      </c>
      <c r="AE226" s="27">
        <f>SUM(Tabel2[[#This Row],[V 3]]*10+Tabel2[[#This Row],[GT 3]])/Tabel2[[#This Row],[AW 3]]*10+Tabel2[[#This Row],[BONUS 3]]</f>
        <v>0</v>
      </c>
      <c r="AG226">
        <v>1</v>
      </c>
      <c r="AK226" s="27">
        <f>SUM(Tabel2[[#This Row],[V 4]]*10+Tabel2[[#This Row],[GT 4]])/Tabel2[[#This Row],[AW 4]]*10+Tabel2[[#This Row],[BONUS 4]]</f>
        <v>0</v>
      </c>
      <c r="AM226">
        <v>1</v>
      </c>
      <c r="AQ226" s="27">
        <f>SUM(Tabel2[[#This Row],[V 5]]*10+Tabel2[[#This Row],[GT 5]])/Tabel2[[#This Row],[AW 5]]*10+Tabel2[[#This Row],[BONUS 5]]</f>
        <v>0</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6" s="22">
        <v>0</v>
      </c>
      <c r="BX226" s="30">
        <f>Tabel2[[#This Row],[Diploma]]-Tabel2[[#This Row],[Uitgeschreven]]</f>
        <v>0</v>
      </c>
      <c r="BY226" s="14" t="str">
        <f t="shared" si="31"/>
        <v>geen actie</v>
      </c>
      <c r="CB226" s="150">
        <f>Tabel2[[#This Row],[pnt 2022/2023]]</f>
        <v>0</v>
      </c>
      <c r="CC226" s="150">
        <f t="shared" si="32"/>
        <v>0</v>
      </c>
      <c r="CD226" s="150">
        <f>IF(Tabel2[[#This Row],[LPR 1]]&gt;0,1,0)</f>
        <v>0</v>
      </c>
      <c r="CE226" s="150">
        <f>IF(Tabel2[[#This Row],[LPR 2]]&gt;0,1,0)</f>
        <v>0</v>
      </c>
      <c r="CF226" s="150">
        <f>IF(Tabel2[[#This Row],[LPR 3]]&gt;0,1,0)</f>
        <v>0</v>
      </c>
      <c r="CG226" s="150">
        <f>IF(Tabel2[[#This Row],[LPR 4]]&gt;0,1,0)</f>
        <v>0</v>
      </c>
      <c r="CH226" s="150">
        <f>IF(Tabel2[[#This Row],[LPR 5]]&gt;0,1,0)</f>
        <v>0</v>
      </c>
      <c r="CI226" s="150">
        <f>IF(Tabel2[[#This Row],[LPR 6]]&gt;0,1,0)</f>
        <v>0</v>
      </c>
      <c r="CJ226" s="150">
        <f>IF(Tabel2[[#This Row],[LPR 7]]&gt;0,1,0)</f>
        <v>0</v>
      </c>
      <c r="CK226" s="150">
        <f>IF(Tabel2[[#This Row],[LPR 8]]&gt;0,1,0)</f>
        <v>0</v>
      </c>
      <c r="CL226" s="150">
        <f>IF(Tabel2[[#This Row],[LPR 9]]&gt;0,1,0)</f>
        <v>0</v>
      </c>
      <c r="CM226" s="150">
        <f>IF(Tabel2[[#This Row],[LPR 10]]&gt;0,1,0)</f>
        <v>0</v>
      </c>
      <c r="CN226" s="150">
        <f>SUM(Tabel7[[#This Row],[sep]:[jun]])</f>
        <v>0</v>
      </c>
      <c r="CO226" s="22" t="str">
        <f t="shared" si="25"/>
        <v/>
      </c>
      <c r="CP226" s="22" t="str">
        <f t="shared" si="26"/>
        <v/>
      </c>
      <c r="CQ226" s="22" t="str">
        <f t="shared" si="27"/>
        <v/>
      </c>
      <c r="CR226" s="22" t="str">
        <f t="shared" si="28"/>
        <v/>
      </c>
      <c r="CS226" s="22" t="str">
        <f t="shared" si="29"/>
        <v/>
      </c>
    </row>
    <row r="227" spans="1:97" x14ac:dyDescent="0.3">
      <c r="A227" s="22"/>
      <c r="B227" s="22" t="s">
        <v>157</v>
      </c>
      <c r="D227" s="22" t="s">
        <v>163</v>
      </c>
      <c r="H227" s="154">
        <f>Tabel2[[#This Row],[pnt t/m 2021/22]]+Tabel2[[#This Row],[pnt 2022/2023]]</f>
        <v>0</v>
      </c>
      <c r="J227">
        <v>2023</v>
      </c>
      <c r="K227" s="24">
        <f>Tabel2[[#This Row],[ijkdatum]]-Tabel2[[#This Row],[Geboren]]</f>
        <v>2023</v>
      </c>
      <c r="L227" s="26">
        <f>Tabel2[[#This Row],[TTL 1]]+Tabel2[[#This Row],[TTL 2]]+Tabel2[[#This Row],[TTL 3]]+Tabel2[[#This Row],[TTL 4]]+Tabel2[[#This Row],[TTL 5]]+Tabel2[[#This Row],[TTL 6]]+Tabel2[[#This Row],[TTL 7]]+Tabel2[[#This Row],[TTL 8]]+Tabel2[[#This Row],[TTL 9]]+Tabel2[[#This Row],[TTL 10]]</f>
        <v>0</v>
      </c>
      <c r="M227" s="151"/>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 t="shared" si="31"/>
        <v>geen actie</v>
      </c>
      <c r="CB227" s="150">
        <f>Tabel2[[#This Row],[pnt 2022/2023]]</f>
        <v>0</v>
      </c>
      <c r="CC227" s="150">
        <f t="shared" si="32"/>
        <v>0</v>
      </c>
      <c r="CD227" s="150">
        <f>IF(Tabel2[[#This Row],[LPR 1]]&gt;0,1,0)</f>
        <v>0</v>
      </c>
      <c r="CE227" s="150">
        <f>IF(Tabel2[[#This Row],[LPR 2]]&gt;0,1,0)</f>
        <v>0</v>
      </c>
      <c r="CF227" s="150">
        <f>IF(Tabel2[[#This Row],[LPR 3]]&gt;0,1,0)</f>
        <v>0</v>
      </c>
      <c r="CG227" s="150">
        <f>IF(Tabel2[[#This Row],[LPR 4]]&gt;0,1,0)</f>
        <v>0</v>
      </c>
      <c r="CH227" s="150">
        <f>IF(Tabel2[[#This Row],[LPR 5]]&gt;0,1,0)</f>
        <v>0</v>
      </c>
      <c r="CI227" s="150">
        <f>IF(Tabel2[[#This Row],[LPR 6]]&gt;0,1,0)</f>
        <v>0</v>
      </c>
      <c r="CJ227" s="150">
        <f>IF(Tabel2[[#This Row],[LPR 7]]&gt;0,1,0)</f>
        <v>0</v>
      </c>
      <c r="CK227" s="150">
        <f>IF(Tabel2[[#This Row],[LPR 8]]&gt;0,1,0)</f>
        <v>0</v>
      </c>
      <c r="CL227" s="150">
        <f>IF(Tabel2[[#This Row],[LPR 9]]&gt;0,1,0)</f>
        <v>0</v>
      </c>
      <c r="CM227" s="150">
        <f>IF(Tabel2[[#This Row],[LPR 10]]&gt;0,1,0)</f>
        <v>0</v>
      </c>
      <c r="CN227" s="150">
        <f>SUM(Tabel7[[#This Row],[sep]:[jun]])</f>
        <v>0</v>
      </c>
      <c r="CO227" s="22" t="str">
        <f t="shared" si="25"/>
        <v/>
      </c>
      <c r="CP227" s="22" t="str">
        <f t="shared" si="26"/>
        <v/>
      </c>
      <c r="CQ227" s="22" t="str">
        <f t="shared" si="27"/>
        <v/>
      </c>
      <c r="CR227" s="22" t="str">
        <f t="shared" si="28"/>
        <v/>
      </c>
      <c r="CS227" s="22" t="str">
        <f t="shared" si="29"/>
        <v/>
      </c>
    </row>
    <row r="228" spans="1:97" x14ac:dyDescent="0.3">
      <c r="A228" s="22"/>
      <c r="B228" s="22" t="s">
        <v>157</v>
      </c>
      <c r="D228" s="22" t="s">
        <v>163</v>
      </c>
      <c r="H228" s="154">
        <f>Tabel2[[#This Row],[pnt t/m 2021/22]]+Tabel2[[#This Row],[pnt 2022/2023]]</f>
        <v>0</v>
      </c>
      <c r="J228">
        <v>2023</v>
      </c>
      <c r="K228" s="24">
        <f>Tabel2[[#This Row],[ijkdatum]]-Tabel2[[#This Row],[Geboren]]</f>
        <v>2023</v>
      </c>
      <c r="L228" s="26">
        <f>Tabel2[[#This Row],[TTL 1]]+Tabel2[[#This Row],[TTL 2]]+Tabel2[[#This Row],[TTL 3]]+Tabel2[[#This Row],[TTL 4]]+Tabel2[[#This Row],[TTL 5]]+Tabel2[[#This Row],[TTL 6]]+Tabel2[[#This Row],[TTL 7]]+Tabel2[[#This Row],[TTL 8]]+Tabel2[[#This Row],[TTL 9]]+Tabel2[[#This Row],[TTL 10]]</f>
        <v>0</v>
      </c>
      <c r="M228" s="151"/>
      <c r="N228" s="31"/>
      <c r="O228">
        <v>1</v>
      </c>
      <c r="S228" s="27">
        <f>SUM(Tabel2[[#This Row],[V 1]]*10+Tabel2[[#This Row],[GT 1]])/Tabel2[[#This Row],[AW 1]]*10+Tabel2[[#This Row],[BONUS 1]]</f>
        <v>0</v>
      </c>
      <c r="U228">
        <v>1</v>
      </c>
      <c r="Y228" s="27">
        <f>SUM(Tabel2[[#This Row],[V 2]]*10+Tabel2[[#This Row],[GT 2]])/Tabel2[[#This Row],[AW 2]]*10+Tabel2[[#This Row],[BONUS 2]]</f>
        <v>0</v>
      </c>
      <c r="AA228">
        <v>1</v>
      </c>
      <c r="AE228" s="27">
        <f>SUM(Tabel2[[#This Row],[V 3]]*10+Tabel2[[#This Row],[GT 3]])/Tabel2[[#This Row],[AW 3]]*10+Tabel2[[#This Row],[BONUS 3]]</f>
        <v>0</v>
      </c>
      <c r="AG228">
        <v>1</v>
      </c>
      <c r="AK228" s="27">
        <f>SUM(Tabel2[[#This Row],[V 4]]*10+Tabel2[[#This Row],[GT 4]])/Tabel2[[#This Row],[AW 4]]*10+Tabel2[[#This Row],[BONUS 4]]</f>
        <v>0</v>
      </c>
      <c r="AM228">
        <v>1</v>
      </c>
      <c r="AQ228" s="27">
        <f>SUM(Tabel2[[#This Row],[V 5]]*10+Tabel2[[#This Row],[GT 5]])/Tabel2[[#This Row],[AW 5]]*10+Tabel2[[#This Row],[BONUS 5]]</f>
        <v>0</v>
      </c>
      <c r="AS228">
        <v>1</v>
      </c>
      <c r="AW228" s="27">
        <f>SUM(Tabel2[[#This Row],[V 6]]*10+Tabel2[[#This Row],[GT 6]])/Tabel2[[#This Row],[AW 6]]*10+Tabel2[[#This Row],[BONUS 6]]</f>
        <v>0</v>
      </c>
      <c r="AY228">
        <v>1</v>
      </c>
      <c r="BC228" s="27">
        <f>SUM(Tabel2[[#This Row],[V 7]]*10+Tabel2[[#This Row],[GT 7]])/Tabel2[[#This Row],[AW 7]]*10+Tabel2[[#This Row],[BONUS 7]]</f>
        <v>0</v>
      </c>
      <c r="BE228">
        <v>1</v>
      </c>
      <c r="BI228" s="27">
        <f>SUM(Tabel2[[#This Row],[V 8]]*10+Tabel2[[#This Row],[GT 8]])/Tabel2[[#This Row],[AW 8]]*10+Tabel2[[#This Row],[BONUS 8]]</f>
        <v>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8" s="22">
        <v>0</v>
      </c>
      <c r="BX228" s="30">
        <f>Tabel2[[#This Row],[Diploma]]-Tabel2[[#This Row],[Uitgeschreven]]</f>
        <v>0</v>
      </c>
      <c r="BY228" s="14" t="str">
        <f t="shared" si="31"/>
        <v>geen actie</v>
      </c>
      <c r="CB228" s="150">
        <f>Tabel2[[#This Row],[pnt 2022/2023]]</f>
        <v>0</v>
      </c>
      <c r="CC228" s="150">
        <f t="shared" si="32"/>
        <v>0</v>
      </c>
      <c r="CD228" s="150">
        <f>IF(Tabel2[[#This Row],[LPR 1]]&gt;0,1,0)</f>
        <v>0</v>
      </c>
      <c r="CE228" s="150">
        <f>IF(Tabel2[[#This Row],[LPR 2]]&gt;0,1,0)</f>
        <v>0</v>
      </c>
      <c r="CF228" s="150">
        <f>IF(Tabel2[[#This Row],[LPR 3]]&gt;0,1,0)</f>
        <v>0</v>
      </c>
      <c r="CG228" s="150">
        <f>IF(Tabel2[[#This Row],[LPR 4]]&gt;0,1,0)</f>
        <v>0</v>
      </c>
      <c r="CH228" s="150">
        <f>IF(Tabel2[[#This Row],[LPR 5]]&gt;0,1,0)</f>
        <v>0</v>
      </c>
      <c r="CI228" s="150">
        <f>IF(Tabel2[[#This Row],[LPR 6]]&gt;0,1,0)</f>
        <v>0</v>
      </c>
      <c r="CJ228" s="150">
        <f>IF(Tabel2[[#This Row],[LPR 7]]&gt;0,1,0)</f>
        <v>0</v>
      </c>
      <c r="CK228" s="150">
        <f>IF(Tabel2[[#This Row],[LPR 8]]&gt;0,1,0)</f>
        <v>0</v>
      </c>
      <c r="CL228" s="150">
        <f>IF(Tabel2[[#This Row],[LPR 9]]&gt;0,1,0)</f>
        <v>0</v>
      </c>
      <c r="CM228" s="150">
        <f>IF(Tabel2[[#This Row],[LPR 10]]&gt;0,1,0)</f>
        <v>0</v>
      </c>
      <c r="CN228" s="150">
        <f>SUM(Tabel7[[#This Row],[sep]:[jun]])</f>
        <v>0</v>
      </c>
      <c r="CO228" s="22" t="str">
        <f t="shared" si="25"/>
        <v/>
      </c>
      <c r="CP228" s="22" t="str">
        <f t="shared" si="26"/>
        <v/>
      </c>
      <c r="CQ228" s="22" t="str">
        <f t="shared" si="27"/>
        <v/>
      </c>
      <c r="CR228" s="22" t="str">
        <f t="shared" si="28"/>
        <v/>
      </c>
      <c r="CS228" s="22" t="str">
        <f t="shared" si="29"/>
        <v/>
      </c>
    </row>
    <row r="229" spans="1:97" x14ac:dyDescent="0.3">
      <c r="A229" s="22"/>
      <c r="B229" s="22" t="s">
        <v>157</v>
      </c>
      <c r="D229" s="22" t="s">
        <v>163</v>
      </c>
      <c r="H229" s="154">
        <f>Tabel2[[#This Row],[pnt t/m 2021/22]]+Tabel2[[#This Row],[pnt 2022/2023]]</f>
        <v>0</v>
      </c>
      <c r="J229">
        <v>2023</v>
      </c>
      <c r="K229" s="24">
        <f>Tabel2[[#This Row],[ijkdatum]]-Tabel2[[#This Row],[Geboren]]</f>
        <v>2023</v>
      </c>
      <c r="L229" s="26">
        <f>Tabel2[[#This Row],[TTL 1]]+Tabel2[[#This Row],[TTL 2]]+Tabel2[[#This Row],[TTL 3]]+Tabel2[[#This Row],[TTL 4]]+Tabel2[[#This Row],[TTL 5]]+Tabel2[[#This Row],[TTL 6]]+Tabel2[[#This Row],[TTL 7]]+Tabel2[[#This Row],[TTL 8]]+Tabel2[[#This Row],[TTL 9]]+Tabel2[[#This Row],[TTL 10]]</f>
        <v>0</v>
      </c>
      <c r="M229" s="151"/>
      <c r="N229" s="31"/>
      <c r="O229">
        <v>1</v>
      </c>
      <c r="S229" s="27">
        <f>SUM(Tabel2[[#This Row],[V 1]]*10+Tabel2[[#This Row],[GT 1]])/Tabel2[[#This Row],[AW 1]]*10+Tabel2[[#This Row],[BONUS 1]]</f>
        <v>0</v>
      </c>
      <c r="U229">
        <v>1</v>
      </c>
      <c r="Y229" s="27">
        <f>SUM(Tabel2[[#This Row],[V 2]]*10+Tabel2[[#This Row],[GT 2]])/Tabel2[[#This Row],[AW 2]]*10+Tabel2[[#This Row],[BONUS 2]]</f>
        <v>0</v>
      </c>
      <c r="AA229">
        <v>1</v>
      </c>
      <c r="AE229" s="27">
        <f>SUM(Tabel2[[#This Row],[V 3]]*10+Tabel2[[#This Row],[GT 3]])/Tabel2[[#This Row],[AW 3]]*10+Tabel2[[#This Row],[BONUS 3]]</f>
        <v>0</v>
      </c>
      <c r="AG229">
        <v>1</v>
      </c>
      <c r="AK229" s="27">
        <f>SUM(Tabel2[[#This Row],[V 4]]*10+Tabel2[[#This Row],[GT 4]])/Tabel2[[#This Row],[AW 4]]*10+Tabel2[[#This Row],[BONUS 4]]</f>
        <v>0</v>
      </c>
      <c r="AM229">
        <v>1</v>
      </c>
      <c r="AQ229" s="27">
        <f>SUM(Tabel2[[#This Row],[V 5]]*10+Tabel2[[#This Row],[GT 5]])/Tabel2[[#This Row],[AW 5]]*10+Tabel2[[#This Row],[BONUS 5]]</f>
        <v>0</v>
      </c>
      <c r="AS229">
        <v>1</v>
      </c>
      <c r="AW229" s="27">
        <f>SUM(Tabel2[[#This Row],[V 6]]*10+Tabel2[[#This Row],[GT 6]])/Tabel2[[#This Row],[AW 6]]*10+Tabel2[[#This Row],[BONUS 6]]</f>
        <v>0</v>
      </c>
      <c r="AY229">
        <v>1</v>
      </c>
      <c r="BC229" s="27">
        <f>SUM(Tabel2[[#This Row],[V 7]]*10+Tabel2[[#This Row],[GT 7]])/Tabel2[[#This Row],[AW 7]]*10+Tabel2[[#This Row],[BONUS 7]]</f>
        <v>0</v>
      </c>
      <c r="BE229">
        <v>1</v>
      </c>
      <c r="BI229" s="27">
        <f>SUM(Tabel2[[#This Row],[V 8]]*10+Tabel2[[#This Row],[GT 8]])/Tabel2[[#This Row],[AW 8]]*10+Tabel2[[#This Row],[BONUS 8]]</f>
        <v>0</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9" s="22">
        <v>0</v>
      </c>
      <c r="BX229" s="30">
        <f>Tabel2[[#This Row],[Diploma]]-Tabel2[[#This Row],[Uitgeschreven]]</f>
        <v>0</v>
      </c>
      <c r="BY229" s="14" t="str">
        <f t="shared" si="31"/>
        <v>geen actie</v>
      </c>
      <c r="CB229" s="150">
        <f>Tabel2[[#This Row],[pnt 2022/2023]]</f>
        <v>0</v>
      </c>
      <c r="CC229" s="150">
        <f t="shared" si="32"/>
        <v>0</v>
      </c>
      <c r="CD229" s="150">
        <f>IF(Tabel2[[#This Row],[LPR 1]]&gt;0,1,0)</f>
        <v>0</v>
      </c>
      <c r="CE229" s="150">
        <f>IF(Tabel2[[#This Row],[LPR 2]]&gt;0,1,0)</f>
        <v>0</v>
      </c>
      <c r="CF229" s="150">
        <f>IF(Tabel2[[#This Row],[LPR 3]]&gt;0,1,0)</f>
        <v>0</v>
      </c>
      <c r="CG229" s="150">
        <f>IF(Tabel2[[#This Row],[LPR 4]]&gt;0,1,0)</f>
        <v>0</v>
      </c>
      <c r="CH229" s="150">
        <f>IF(Tabel2[[#This Row],[LPR 5]]&gt;0,1,0)</f>
        <v>0</v>
      </c>
      <c r="CI229" s="150">
        <f>IF(Tabel2[[#This Row],[LPR 6]]&gt;0,1,0)</f>
        <v>0</v>
      </c>
      <c r="CJ229" s="150">
        <f>IF(Tabel2[[#This Row],[LPR 7]]&gt;0,1,0)</f>
        <v>0</v>
      </c>
      <c r="CK229" s="150">
        <f>IF(Tabel2[[#This Row],[LPR 8]]&gt;0,1,0)</f>
        <v>0</v>
      </c>
      <c r="CL229" s="150">
        <f>IF(Tabel2[[#This Row],[LPR 9]]&gt;0,1,0)</f>
        <v>0</v>
      </c>
      <c r="CM229" s="150">
        <f>IF(Tabel2[[#This Row],[LPR 10]]&gt;0,1,0)</f>
        <v>0</v>
      </c>
      <c r="CN229" s="150">
        <f>SUM(Tabel7[[#This Row],[sep]:[jun]])</f>
        <v>0</v>
      </c>
      <c r="CO229" s="22" t="str">
        <f t="shared" si="25"/>
        <v/>
      </c>
      <c r="CP229" s="22" t="str">
        <f t="shared" si="26"/>
        <v/>
      </c>
      <c r="CQ229" s="22" t="str">
        <f t="shared" si="27"/>
        <v/>
      </c>
      <c r="CR229" s="22" t="str">
        <f t="shared" si="28"/>
        <v/>
      </c>
      <c r="CS229" s="22" t="str">
        <f t="shared" si="29"/>
        <v/>
      </c>
    </row>
    <row r="230" spans="1:97" x14ac:dyDescent="0.3">
      <c r="A230" s="22"/>
      <c r="B230" s="22" t="s">
        <v>157</v>
      </c>
      <c r="D230" s="22" t="s">
        <v>163</v>
      </c>
      <c r="H230" s="154">
        <f>Tabel2[[#This Row],[pnt t/m 2021/22]]+Tabel2[[#This Row],[pnt 2022/2023]]</f>
        <v>0</v>
      </c>
      <c r="J230">
        <v>2023</v>
      </c>
      <c r="K230" s="24">
        <f>Tabel2[[#This Row],[ijkdatum]]-Tabel2[[#This Row],[Geboren]]</f>
        <v>2023</v>
      </c>
      <c r="L230" s="26">
        <f>Tabel2[[#This Row],[TTL 1]]+Tabel2[[#This Row],[TTL 2]]+Tabel2[[#This Row],[TTL 3]]+Tabel2[[#This Row],[TTL 4]]+Tabel2[[#This Row],[TTL 5]]+Tabel2[[#This Row],[TTL 6]]+Tabel2[[#This Row],[TTL 7]]+Tabel2[[#This Row],[TTL 8]]+Tabel2[[#This Row],[TTL 9]]+Tabel2[[#This Row],[TTL 10]]</f>
        <v>0</v>
      </c>
      <c r="M230" s="151"/>
      <c r="N230" s="31"/>
      <c r="O230">
        <v>1</v>
      </c>
      <c r="S230" s="27">
        <f>SUM(Tabel2[[#This Row],[V 1]]*10+Tabel2[[#This Row],[GT 1]])/Tabel2[[#This Row],[AW 1]]*10+Tabel2[[#This Row],[BONUS 1]]</f>
        <v>0</v>
      </c>
      <c r="U230">
        <v>1</v>
      </c>
      <c r="Y230" s="27">
        <f>SUM(Tabel2[[#This Row],[V 2]]*10+Tabel2[[#This Row],[GT 2]])/Tabel2[[#This Row],[AW 2]]*10+Tabel2[[#This Row],[BONUS 2]]</f>
        <v>0</v>
      </c>
      <c r="AA230">
        <v>1</v>
      </c>
      <c r="AE230" s="27">
        <f>SUM(Tabel2[[#This Row],[V 3]]*10+Tabel2[[#This Row],[GT 3]])/Tabel2[[#This Row],[AW 3]]*10+Tabel2[[#This Row],[BONUS 3]]</f>
        <v>0</v>
      </c>
      <c r="AG230">
        <v>1</v>
      </c>
      <c r="AK230" s="27">
        <f>SUM(Tabel2[[#This Row],[V 4]]*10+Tabel2[[#This Row],[GT 4]])/Tabel2[[#This Row],[AW 4]]*10+Tabel2[[#This Row],[BONUS 4]]</f>
        <v>0</v>
      </c>
      <c r="AM230">
        <v>1</v>
      </c>
      <c r="AQ230" s="27">
        <f>SUM(Tabel2[[#This Row],[V 5]]*10+Tabel2[[#This Row],[GT 5]])/Tabel2[[#This Row],[AW 5]]*10+Tabel2[[#This Row],[BONUS 5]]</f>
        <v>0</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30">
        <f>Tabel2[[#This Row],[Diploma]]-Tabel2[[#This Row],[Uitgeschreven]]</f>
        <v>0</v>
      </c>
      <c r="BY230" s="14" t="str">
        <f t="shared" si="31"/>
        <v>geen actie</v>
      </c>
      <c r="CB230" s="150">
        <f>Tabel2[[#This Row],[pnt 2022/2023]]</f>
        <v>0</v>
      </c>
      <c r="CC230" s="150">
        <f t="shared" si="32"/>
        <v>0</v>
      </c>
      <c r="CD230" s="150">
        <f>IF(Tabel2[[#This Row],[LPR 1]]&gt;0,1,0)</f>
        <v>0</v>
      </c>
      <c r="CE230" s="150">
        <f>IF(Tabel2[[#This Row],[LPR 2]]&gt;0,1,0)</f>
        <v>0</v>
      </c>
      <c r="CF230" s="150">
        <f>IF(Tabel2[[#This Row],[LPR 3]]&gt;0,1,0)</f>
        <v>0</v>
      </c>
      <c r="CG230" s="150">
        <f>IF(Tabel2[[#This Row],[LPR 4]]&gt;0,1,0)</f>
        <v>0</v>
      </c>
      <c r="CH230" s="150">
        <f>IF(Tabel2[[#This Row],[LPR 5]]&gt;0,1,0)</f>
        <v>0</v>
      </c>
      <c r="CI230" s="150">
        <f>IF(Tabel2[[#This Row],[LPR 6]]&gt;0,1,0)</f>
        <v>0</v>
      </c>
      <c r="CJ230" s="150">
        <f>IF(Tabel2[[#This Row],[LPR 7]]&gt;0,1,0)</f>
        <v>0</v>
      </c>
      <c r="CK230" s="150">
        <f>IF(Tabel2[[#This Row],[LPR 8]]&gt;0,1,0)</f>
        <v>0</v>
      </c>
      <c r="CL230" s="150">
        <f>IF(Tabel2[[#This Row],[LPR 9]]&gt;0,1,0)</f>
        <v>0</v>
      </c>
      <c r="CM230" s="150">
        <f>IF(Tabel2[[#This Row],[LPR 10]]&gt;0,1,0)</f>
        <v>0</v>
      </c>
      <c r="CN230" s="150">
        <f>SUM(Tabel7[[#This Row],[sep]:[jun]])</f>
        <v>0</v>
      </c>
      <c r="CO230" s="22" t="str">
        <f t="shared" si="25"/>
        <v/>
      </c>
      <c r="CP230" s="22" t="str">
        <f t="shared" si="26"/>
        <v/>
      </c>
      <c r="CQ230" s="22" t="str">
        <f t="shared" si="27"/>
        <v/>
      </c>
      <c r="CR230" s="22" t="str">
        <f t="shared" si="28"/>
        <v/>
      </c>
      <c r="CS230" s="22" t="str">
        <f t="shared" si="29"/>
        <v/>
      </c>
    </row>
    <row r="231" spans="1:97" x14ac:dyDescent="0.3">
      <c r="A231" s="22"/>
      <c r="B231" s="22" t="s">
        <v>157</v>
      </c>
      <c r="D231" s="22" t="s">
        <v>163</v>
      </c>
      <c r="H231" s="154">
        <f>Tabel2[[#This Row],[pnt t/m 2021/22]]+Tabel2[[#This Row],[pnt 2022/2023]]</f>
        <v>0</v>
      </c>
      <c r="J231">
        <v>2023</v>
      </c>
      <c r="K231" s="24">
        <f>Tabel2[[#This Row],[ijkdatum]]-Tabel2[[#This Row],[Geboren]]</f>
        <v>2023</v>
      </c>
      <c r="L231" s="26">
        <f>Tabel2[[#This Row],[TTL 1]]+Tabel2[[#This Row],[TTL 2]]+Tabel2[[#This Row],[TTL 3]]+Tabel2[[#This Row],[TTL 4]]+Tabel2[[#This Row],[TTL 5]]+Tabel2[[#This Row],[TTL 6]]+Tabel2[[#This Row],[TTL 7]]+Tabel2[[#This Row],[TTL 8]]+Tabel2[[#This Row],[TTL 9]]+Tabel2[[#This Row],[TTL 10]]</f>
        <v>0</v>
      </c>
      <c r="M231" s="151"/>
      <c r="N231" s="31"/>
      <c r="O231">
        <v>1</v>
      </c>
      <c r="S231" s="27">
        <f>SUM(Tabel2[[#This Row],[V 1]]*10+Tabel2[[#This Row],[GT 1]])/Tabel2[[#This Row],[AW 1]]*10+Tabel2[[#This Row],[BONUS 1]]</f>
        <v>0</v>
      </c>
      <c r="U231">
        <v>1</v>
      </c>
      <c r="Y231" s="27">
        <f>SUM(Tabel2[[#This Row],[V 2]]*10+Tabel2[[#This Row],[GT 2]])/Tabel2[[#This Row],[AW 2]]*10+Tabel2[[#This Row],[BONUS 2]]</f>
        <v>0</v>
      </c>
      <c r="AA231">
        <v>1</v>
      </c>
      <c r="AE231" s="27">
        <f>SUM(Tabel2[[#This Row],[V 3]]*10+Tabel2[[#This Row],[GT 3]])/Tabel2[[#This Row],[AW 3]]*10+Tabel2[[#This Row],[BONUS 3]]</f>
        <v>0</v>
      </c>
      <c r="AG231">
        <v>1</v>
      </c>
      <c r="AK231" s="27">
        <f>SUM(Tabel2[[#This Row],[V 4]]*10+Tabel2[[#This Row],[GT 4]])/Tabel2[[#This Row],[AW 4]]*10+Tabel2[[#This Row],[BONUS 4]]</f>
        <v>0</v>
      </c>
      <c r="AM231">
        <v>1</v>
      </c>
      <c r="AQ231" s="27">
        <f>SUM(Tabel2[[#This Row],[V 5]]*10+Tabel2[[#This Row],[GT 5]])/Tabel2[[#This Row],[AW 5]]*10+Tabel2[[#This Row],[BONUS 5]]</f>
        <v>0</v>
      </c>
      <c r="AS231">
        <v>1</v>
      </c>
      <c r="AW231" s="27">
        <f>SUM(Tabel2[[#This Row],[V 6]]*10+Tabel2[[#This Row],[GT 6]])/Tabel2[[#This Row],[AW 6]]*10+Tabel2[[#This Row],[BONUS 6]]</f>
        <v>0</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1" s="22">
        <v>0</v>
      </c>
      <c r="BX231" s="30">
        <f>Tabel2[[#This Row],[Diploma]]-Tabel2[[#This Row],[Uitgeschreven]]</f>
        <v>0</v>
      </c>
      <c r="BY231" s="14" t="str">
        <f t="shared" si="31"/>
        <v>geen actie</v>
      </c>
      <c r="CB231" s="150">
        <f>Tabel2[[#This Row],[pnt 2022/2023]]</f>
        <v>0</v>
      </c>
      <c r="CC231" s="150">
        <f t="shared" si="32"/>
        <v>0</v>
      </c>
      <c r="CD231" s="150">
        <f>IF(Tabel2[[#This Row],[LPR 1]]&gt;0,1,0)</f>
        <v>0</v>
      </c>
      <c r="CE231" s="150">
        <f>IF(Tabel2[[#This Row],[LPR 2]]&gt;0,1,0)</f>
        <v>0</v>
      </c>
      <c r="CF231" s="150">
        <f>IF(Tabel2[[#This Row],[LPR 3]]&gt;0,1,0)</f>
        <v>0</v>
      </c>
      <c r="CG231" s="150">
        <f>IF(Tabel2[[#This Row],[LPR 4]]&gt;0,1,0)</f>
        <v>0</v>
      </c>
      <c r="CH231" s="150">
        <f>IF(Tabel2[[#This Row],[LPR 5]]&gt;0,1,0)</f>
        <v>0</v>
      </c>
      <c r="CI231" s="150">
        <f>IF(Tabel2[[#This Row],[LPR 6]]&gt;0,1,0)</f>
        <v>0</v>
      </c>
      <c r="CJ231" s="150">
        <f>IF(Tabel2[[#This Row],[LPR 7]]&gt;0,1,0)</f>
        <v>0</v>
      </c>
      <c r="CK231" s="150">
        <f>IF(Tabel2[[#This Row],[LPR 8]]&gt;0,1,0)</f>
        <v>0</v>
      </c>
      <c r="CL231" s="150">
        <f>IF(Tabel2[[#This Row],[LPR 9]]&gt;0,1,0)</f>
        <v>0</v>
      </c>
      <c r="CM231" s="150">
        <f>IF(Tabel2[[#This Row],[LPR 10]]&gt;0,1,0)</f>
        <v>0</v>
      </c>
      <c r="CN231" s="150">
        <f>SUM(Tabel7[[#This Row],[sep]:[jun]])</f>
        <v>0</v>
      </c>
      <c r="CO231" s="22" t="str">
        <f t="shared" si="25"/>
        <v/>
      </c>
      <c r="CP231" s="22" t="str">
        <f t="shared" si="26"/>
        <v/>
      </c>
      <c r="CQ231" s="22" t="str">
        <f t="shared" si="27"/>
        <v/>
      </c>
      <c r="CR231" s="22" t="str">
        <f t="shared" si="28"/>
        <v/>
      </c>
      <c r="CS231" s="22" t="str">
        <f t="shared" si="29"/>
        <v/>
      </c>
    </row>
    <row r="232" spans="1:97" x14ac:dyDescent="0.3">
      <c r="A232" s="22"/>
      <c r="B232" s="22" t="s">
        <v>157</v>
      </c>
      <c r="D232" s="22" t="s">
        <v>163</v>
      </c>
      <c r="H232" s="154">
        <f>Tabel2[[#This Row],[pnt t/m 2021/22]]+Tabel2[[#This Row],[pnt 2022/2023]]</f>
        <v>0</v>
      </c>
      <c r="J232">
        <v>2023</v>
      </c>
      <c r="K232" s="24">
        <f>Tabel2[[#This Row],[ijkdatum]]-Tabel2[[#This Row],[Geboren]]</f>
        <v>2023</v>
      </c>
      <c r="L232" s="26">
        <f>Tabel2[[#This Row],[TTL 1]]+Tabel2[[#This Row],[TTL 2]]+Tabel2[[#This Row],[TTL 3]]+Tabel2[[#This Row],[TTL 4]]+Tabel2[[#This Row],[TTL 5]]+Tabel2[[#This Row],[TTL 6]]+Tabel2[[#This Row],[TTL 7]]+Tabel2[[#This Row],[TTL 8]]+Tabel2[[#This Row],[TTL 9]]+Tabel2[[#This Row],[TTL 10]]</f>
        <v>0</v>
      </c>
      <c r="M232" s="151"/>
      <c r="N232" s="31"/>
      <c r="O232">
        <v>1</v>
      </c>
      <c r="S232" s="27">
        <f>SUM(Tabel2[[#This Row],[V 1]]*10+Tabel2[[#This Row],[GT 1]])/Tabel2[[#This Row],[AW 1]]*10+Tabel2[[#This Row],[BONUS 1]]</f>
        <v>0</v>
      </c>
      <c r="U232">
        <v>1</v>
      </c>
      <c r="Y232" s="27">
        <f>SUM(Tabel2[[#This Row],[V 2]]*10+Tabel2[[#This Row],[GT 2]])/Tabel2[[#This Row],[AW 2]]*10+Tabel2[[#This Row],[BONUS 2]]</f>
        <v>0</v>
      </c>
      <c r="AA232">
        <v>1</v>
      </c>
      <c r="AE232" s="27">
        <f>SUM(Tabel2[[#This Row],[V 3]]*10+Tabel2[[#This Row],[GT 3]])/Tabel2[[#This Row],[AW 3]]*10+Tabel2[[#This Row],[BONUS 3]]</f>
        <v>0</v>
      </c>
      <c r="AG232">
        <v>1</v>
      </c>
      <c r="AK232" s="27">
        <f>SUM(Tabel2[[#This Row],[V 4]]*10+Tabel2[[#This Row],[GT 4]])/Tabel2[[#This Row],[AW 4]]*10+Tabel2[[#This Row],[BONUS 4]]</f>
        <v>0</v>
      </c>
      <c r="AM232">
        <v>1</v>
      </c>
      <c r="AQ232" s="27">
        <f>SUM(Tabel2[[#This Row],[V 5]]*10+Tabel2[[#This Row],[GT 5]])/Tabel2[[#This Row],[AW 5]]*10+Tabel2[[#This Row],[BONUS 5]]</f>
        <v>0</v>
      </c>
      <c r="AS232">
        <v>1</v>
      </c>
      <c r="AW232" s="27">
        <f>SUM(Tabel2[[#This Row],[V 6]]*10+Tabel2[[#This Row],[GT 6]])/Tabel2[[#This Row],[AW 6]]*10+Tabel2[[#This Row],[BONUS 6]]</f>
        <v>0</v>
      </c>
      <c r="AY232">
        <v>1</v>
      </c>
      <c r="BC232" s="27">
        <f>SUM(Tabel2[[#This Row],[V 7]]*10+Tabel2[[#This Row],[GT 7]])/Tabel2[[#This Row],[AW 7]]*10+Tabel2[[#This Row],[BONUS 7]]</f>
        <v>0</v>
      </c>
      <c r="BE232">
        <v>1</v>
      </c>
      <c r="BI232" s="27">
        <f>SUM(Tabel2[[#This Row],[V 8]]*10+Tabel2[[#This Row],[GT 8]])/Tabel2[[#This Row],[AW 8]]*10+Tabel2[[#This Row],[BONUS 8]]</f>
        <v>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2" s="22">
        <v>0</v>
      </c>
      <c r="BX232" s="30">
        <f>Tabel2[[#This Row],[Diploma]]-Tabel2[[#This Row],[Uitgeschreven]]</f>
        <v>0</v>
      </c>
      <c r="BY232" s="14" t="str">
        <f t="shared" si="31"/>
        <v>geen actie</v>
      </c>
      <c r="CB232" s="150">
        <f>Tabel2[[#This Row],[pnt 2022/2023]]</f>
        <v>0</v>
      </c>
      <c r="CC232" s="150">
        <f t="shared" si="32"/>
        <v>0</v>
      </c>
      <c r="CD232" s="150">
        <f>IF(Tabel2[[#This Row],[LPR 1]]&gt;0,1,0)</f>
        <v>0</v>
      </c>
      <c r="CE232" s="150">
        <f>IF(Tabel2[[#This Row],[LPR 2]]&gt;0,1,0)</f>
        <v>0</v>
      </c>
      <c r="CF232" s="150">
        <f>IF(Tabel2[[#This Row],[LPR 3]]&gt;0,1,0)</f>
        <v>0</v>
      </c>
      <c r="CG232" s="150">
        <f>IF(Tabel2[[#This Row],[LPR 4]]&gt;0,1,0)</f>
        <v>0</v>
      </c>
      <c r="CH232" s="150">
        <f>IF(Tabel2[[#This Row],[LPR 5]]&gt;0,1,0)</f>
        <v>0</v>
      </c>
      <c r="CI232" s="150">
        <f>IF(Tabel2[[#This Row],[LPR 6]]&gt;0,1,0)</f>
        <v>0</v>
      </c>
      <c r="CJ232" s="150">
        <f>IF(Tabel2[[#This Row],[LPR 7]]&gt;0,1,0)</f>
        <v>0</v>
      </c>
      <c r="CK232" s="150">
        <f>IF(Tabel2[[#This Row],[LPR 8]]&gt;0,1,0)</f>
        <v>0</v>
      </c>
      <c r="CL232" s="150">
        <f>IF(Tabel2[[#This Row],[LPR 9]]&gt;0,1,0)</f>
        <v>0</v>
      </c>
      <c r="CM232" s="150">
        <f>IF(Tabel2[[#This Row],[LPR 10]]&gt;0,1,0)</f>
        <v>0</v>
      </c>
      <c r="CN232" s="150">
        <f>SUM(Tabel7[[#This Row],[sep]:[jun]])</f>
        <v>0</v>
      </c>
      <c r="CO232" s="22" t="str">
        <f t="shared" si="25"/>
        <v/>
      </c>
      <c r="CP232" s="22" t="str">
        <f t="shared" si="26"/>
        <v/>
      </c>
      <c r="CQ232" s="22" t="str">
        <f t="shared" si="27"/>
        <v/>
      </c>
      <c r="CR232" s="22" t="str">
        <f t="shared" si="28"/>
        <v/>
      </c>
      <c r="CS232" s="22" t="str">
        <f t="shared" si="29"/>
        <v/>
      </c>
    </row>
    <row r="233" spans="1:97" x14ac:dyDescent="0.3">
      <c r="A233" s="22"/>
      <c r="B233" s="22" t="s">
        <v>157</v>
      </c>
      <c r="D233" s="22" t="s">
        <v>163</v>
      </c>
      <c r="H233" s="154">
        <f>Tabel2[[#This Row],[pnt t/m 2021/22]]+Tabel2[[#This Row],[pnt 2022/2023]]</f>
        <v>0</v>
      </c>
      <c r="J233">
        <v>2023</v>
      </c>
      <c r="K233" s="24">
        <f>Tabel2[[#This Row],[ijkdatum]]-Tabel2[[#This Row],[Geboren]]</f>
        <v>2023</v>
      </c>
      <c r="L233" s="26">
        <f>Tabel2[[#This Row],[TTL 1]]+Tabel2[[#This Row],[TTL 2]]+Tabel2[[#This Row],[TTL 3]]+Tabel2[[#This Row],[TTL 4]]+Tabel2[[#This Row],[TTL 5]]+Tabel2[[#This Row],[TTL 6]]+Tabel2[[#This Row],[TTL 7]]+Tabel2[[#This Row],[TTL 8]]+Tabel2[[#This Row],[TTL 9]]+Tabel2[[#This Row],[TTL 10]]</f>
        <v>0</v>
      </c>
      <c r="M233" s="151"/>
      <c r="N233" s="31"/>
      <c r="O233">
        <v>1</v>
      </c>
      <c r="S233" s="27">
        <f>SUM(Tabel2[[#This Row],[V 1]]*10+Tabel2[[#This Row],[GT 1]])/Tabel2[[#This Row],[AW 1]]*10+Tabel2[[#This Row],[BONUS 1]]</f>
        <v>0</v>
      </c>
      <c r="U233">
        <v>1</v>
      </c>
      <c r="Y233" s="27">
        <f>SUM(Tabel2[[#This Row],[V 2]]*10+Tabel2[[#This Row],[GT 2]])/Tabel2[[#This Row],[AW 2]]*10+Tabel2[[#This Row],[BONUS 2]]</f>
        <v>0</v>
      </c>
      <c r="AA233">
        <v>1</v>
      </c>
      <c r="AE233" s="27">
        <f>SUM(Tabel2[[#This Row],[V 3]]*10+Tabel2[[#This Row],[GT 3]])/Tabel2[[#This Row],[AW 3]]*10+Tabel2[[#This Row],[BONUS 3]]</f>
        <v>0</v>
      </c>
      <c r="AG233">
        <v>1</v>
      </c>
      <c r="AK233" s="27">
        <f>SUM(Tabel2[[#This Row],[V 4]]*10+Tabel2[[#This Row],[GT 4]])/Tabel2[[#This Row],[AW 4]]*10+Tabel2[[#This Row],[BONUS 4]]</f>
        <v>0</v>
      </c>
      <c r="AM233">
        <v>1</v>
      </c>
      <c r="AQ233" s="27">
        <f>SUM(Tabel2[[#This Row],[V 5]]*10+Tabel2[[#This Row],[GT 5]])/Tabel2[[#This Row],[AW 5]]*10+Tabel2[[#This Row],[BONUS 5]]</f>
        <v>0</v>
      </c>
      <c r="AS233">
        <v>1</v>
      </c>
      <c r="AW233" s="27">
        <f>SUM(Tabel2[[#This Row],[V 6]]*10+Tabel2[[#This Row],[GT 6]])/Tabel2[[#This Row],[AW 6]]*10+Tabel2[[#This Row],[BONUS 6]]</f>
        <v>0</v>
      </c>
      <c r="AY233">
        <v>1</v>
      </c>
      <c r="BC233" s="27">
        <f>SUM(Tabel2[[#This Row],[V 7]]*10+Tabel2[[#This Row],[GT 7]])/Tabel2[[#This Row],[AW 7]]*10+Tabel2[[#This Row],[BONUS 7]]</f>
        <v>0</v>
      </c>
      <c r="BE233">
        <v>1</v>
      </c>
      <c r="BI233" s="27">
        <f>SUM(Tabel2[[#This Row],[V 8]]*10+Tabel2[[#This Row],[GT 8]])/Tabel2[[#This Row],[AW 8]]*10+Tabel2[[#This Row],[BONUS 8]]</f>
        <v>0</v>
      </c>
      <c r="BK233">
        <v>1</v>
      </c>
      <c r="BO233" s="27">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3" s="22">
        <v>0</v>
      </c>
      <c r="BX233" s="30">
        <f>Tabel2[[#This Row],[Diploma]]-Tabel2[[#This Row],[Uitgeschreven]]</f>
        <v>0</v>
      </c>
      <c r="BY233" s="14" t="str">
        <f t="shared" si="31"/>
        <v>geen actie</v>
      </c>
      <c r="CB233" s="150">
        <f>Tabel2[[#This Row],[pnt 2022/2023]]</f>
        <v>0</v>
      </c>
      <c r="CC233" s="150">
        <f t="shared" si="32"/>
        <v>0</v>
      </c>
      <c r="CD233" s="150">
        <f>IF(Tabel2[[#This Row],[LPR 1]]&gt;0,1,0)</f>
        <v>0</v>
      </c>
      <c r="CE233" s="150">
        <f>IF(Tabel2[[#This Row],[LPR 2]]&gt;0,1,0)</f>
        <v>0</v>
      </c>
      <c r="CF233" s="150">
        <f>IF(Tabel2[[#This Row],[LPR 3]]&gt;0,1,0)</f>
        <v>0</v>
      </c>
      <c r="CG233" s="150">
        <f>IF(Tabel2[[#This Row],[LPR 4]]&gt;0,1,0)</f>
        <v>0</v>
      </c>
      <c r="CH233" s="150">
        <f>IF(Tabel2[[#This Row],[LPR 5]]&gt;0,1,0)</f>
        <v>0</v>
      </c>
      <c r="CI233" s="150">
        <f>IF(Tabel2[[#This Row],[LPR 6]]&gt;0,1,0)</f>
        <v>0</v>
      </c>
      <c r="CJ233" s="150">
        <f>IF(Tabel2[[#This Row],[LPR 7]]&gt;0,1,0)</f>
        <v>0</v>
      </c>
      <c r="CK233" s="150">
        <f>IF(Tabel2[[#This Row],[LPR 8]]&gt;0,1,0)</f>
        <v>0</v>
      </c>
      <c r="CL233" s="150">
        <f>IF(Tabel2[[#This Row],[LPR 9]]&gt;0,1,0)</f>
        <v>0</v>
      </c>
      <c r="CM233" s="150">
        <f>IF(Tabel2[[#This Row],[LPR 10]]&gt;0,1,0)</f>
        <v>0</v>
      </c>
      <c r="CN233" s="150">
        <f>SUM(Tabel7[[#This Row],[sep]:[jun]])</f>
        <v>0</v>
      </c>
      <c r="CO233" s="22" t="str">
        <f t="shared" si="25"/>
        <v/>
      </c>
      <c r="CP233" s="22" t="str">
        <f t="shared" si="26"/>
        <v/>
      </c>
      <c r="CQ233" s="22" t="str">
        <f t="shared" si="27"/>
        <v/>
      </c>
      <c r="CR233" s="22" t="str">
        <f t="shared" si="28"/>
        <v/>
      </c>
      <c r="CS233" s="22" t="str">
        <f t="shared" si="29"/>
        <v/>
      </c>
    </row>
    <row r="234" spans="1:97" x14ac:dyDescent="0.3">
      <c r="A234" s="22"/>
      <c r="B234" s="22" t="s">
        <v>157</v>
      </c>
      <c r="D234" s="22" t="s">
        <v>163</v>
      </c>
      <c r="H234" s="154">
        <f>Tabel2[[#This Row],[pnt t/m 2021/22]]+Tabel2[[#This Row],[pnt 2022/2023]]</f>
        <v>0</v>
      </c>
      <c r="J234">
        <v>2023</v>
      </c>
      <c r="K234" s="24">
        <f>Tabel2[[#This Row],[ijkdatum]]-Tabel2[[#This Row],[Geboren]]</f>
        <v>2023</v>
      </c>
      <c r="L234" s="26">
        <f>Tabel2[[#This Row],[TTL 1]]+Tabel2[[#This Row],[TTL 2]]+Tabel2[[#This Row],[TTL 3]]+Tabel2[[#This Row],[TTL 4]]+Tabel2[[#This Row],[TTL 5]]+Tabel2[[#This Row],[TTL 6]]+Tabel2[[#This Row],[TTL 7]]+Tabel2[[#This Row],[TTL 8]]+Tabel2[[#This Row],[TTL 9]]+Tabel2[[#This Row],[TTL 10]]</f>
        <v>0</v>
      </c>
      <c r="M234" s="151"/>
      <c r="N234" s="31"/>
      <c r="O234">
        <v>1</v>
      </c>
      <c r="S234" s="27">
        <f>SUM(Tabel2[[#This Row],[V 1]]*10+Tabel2[[#This Row],[GT 1]])/Tabel2[[#This Row],[AW 1]]*10+Tabel2[[#This Row],[BONUS 1]]</f>
        <v>0</v>
      </c>
      <c r="U234">
        <v>1</v>
      </c>
      <c r="Y234" s="27">
        <f>SUM(Tabel2[[#This Row],[V 2]]*10+Tabel2[[#This Row],[GT 2]])/Tabel2[[#This Row],[AW 2]]*10+Tabel2[[#This Row],[BONUS 2]]</f>
        <v>0</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4" s="22">
        <v>0</v>
      </c>
      <c r="BX234" s="30">
        <f>Tabel2[[#This Row],[Diploma]]-Tabel2[[#This Row],[Uitgeschreven]]</f>
        <v>0</v>
      </c>
      <c r="BY234" s="14" t="str">
        <f t="shared" si="31"/>
        <v>geen actie</v>
      </c>
      <c r="CB234" s="150">
        <f>Tabel2[[#This Row],[pnt 2022/2023]]</f>
        <v>0</v>
      </c>
      <c r="CC234" s="150">
        <f t="shared" si="32"/>
        <v>0</v>
      </c>
      <c r="CD234" s="150">
        <f>IF(Tabel2[[#This Row],[LPR 1]]&gt;0,1,0)</f>
        <v>0</v>
      </c>
      <c r="CE234" s="150">
        <f>IF(Tabel2[[#This Row],[LPR 2]]&gt;0,1,0)</f>
        <v>0</v>
      </c>
      <c r="CF234" s="150">
        <f>IF(Tabel2[[#This Row],[LPR 3]]&gt;0,1,0)</f>
        <v>0</v>
      </c>
      <c r="CG234" s="150">
        <f>IF(Tabel2[[#This Row],[LPR 4]]&gt;0,1,0)</f>
        <v>0</v>
      </c>
      <c r="CH234" s="150">
        <f>IF(Tabel2[[#This Row],[LPR 5]]&gt;0,1,0)</f>
        <v>0</v>
      </c>
      <c r="CI234" s="150">
        <f>IF(Tabel2[[#This Row],[LPR 6]]&gt;0,1,0)</f>
        <v>0</v>
      </c>
      <c r="CJ234" s="150">
        <f>IF(Tabel2[[#This Row],[LPR 7]]&gt;0,1,0)</f>
        <v>0</v>
      </c>
      <c r="CK234" s="150">
        <f>IF(Tabel2[[#This Row],[LPR 8]]&gt;0,1,0)</f>
        <v>0</v>
      </c>
      <c r="CL234" s="150">
        <f>IF(Tabel2[[#This Row],[LPR 9]]&gt;0,1,0)</f>
        <v>0</v>
      </c>
      <c r="CM234" s="150">
        <f>IF(Tabel2[[#This Row],[LPR 10]]&gt;0,1,0)</f>
        <v>0</v>
      </c>
      <c r="CN234" s="150">
        <f>SUM(Tabel7[[#This Row],[sep]:[jun]])</f>
        <v>0</v>
      </c>
      <c r="CO234" s="22" t="str">
        <f t="shared" si="25"/>
        <v/>
      </c>
      <c r="CP234" s="22" t="str">
        <f t="shared" si="26"/>
        <v/>
      </c>
      <c r="CQ234" s="22" t="str">
        <f t="shared" si="27"/>
        <v/>
      </c>
      <c r="CR234" s="22" t="str">
        <f t="shared" si="28"/>
        <v/>
      </c>
      <c r="CS234" s="22" t="str">
        <f t="shared" si="29"/>
        <v/>
      </c>
    </row>
    <row r="235" spans="1:97" x14ac:dyDescent="0.3">
      <c r="A235" s="22"/>
      <c r="B235" s="22" t="s">
        <v>157</v>
      </c>
      <c r="D235" s="22" t="s">
        <v>163</v>
      </c>
      <c r="H235" s="154">
        <f>Tabel2[[#This Row],[pnt t/m 2021/22]]+Tabel2[[#This Row],[pnt 2022/2023]]</f>
        <v>0</v>
      </c>
      <c r="J235">
        <v>2023</v>
      </c>
      <c r="K235" s="24">
        <f>Tabel2[[#This Row],[ijkdatum]]-Tabel2[[#This Row],[Geboren]]</f>
        <v>2023</v>
      </c>
      <c r="L235" s="26">
        <f>Tabel2[[#This Row],[TTL 1]]+Tabel2[[#This Row],[TTL 2]]+Tabel2[[#This Row],[TTL 3]]+Tabel2[[#This Row],[TTL 4]]+Tabel2[[#This Row],[TTL 5]]+Tabel2[[#This Row],[TTL 6]]+Tabel2[[#This Row],[TTL 7]]+Tabel2[[#This Row],[TTL 8]]+Tabel2[[#This Row],[TTL 9]]+Tabel2[[#This Row],[TTL 10]]</f>
        <v>0</v>
      </c>
      <c r="M235" s="151"/>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 t="shared" si="31"/>
        <v>geen actie</v>
      </c>
      <c r="CB235" s="150">
        <f>Tabel2[[#This Row],[pnt 2022/2023]]</f>
        <v>0</v>
      </c>
      <c r="CC235" s="150">
        <f t="shared" si="32"/>
        <v>0</v>
      </c>
      <c r="CD235" s="150">
        <f>IF(Tabel2[[#This Row],[LPR 1]]&gt;0,1,0)</f>
        <v>0</v>
      </c>
      <c r="CE235" s="150">
        <f>IF(Tabel2[[#This Row],[LPR 2]]&gt;0,1,0)</f>
        <v>0</v>
      </c>
      <c r="CF235" s="150">
        <f>IF(Tabel2[[#This Row],[LPR 3]]&gt;0,1,0)</f>
        <v>0</v>
      </c>
      <c r="CG235" s="150">
        <f>IF(Tabel2[[#This Row],[LPR 4]]&gt;0,1,0)</f>
        <v>0</v>
      </c>
      <c r="CH235" s="150">
        <f>IF(Tabel2[[#This Row],[LPR 5]]&gt;0,1,0)</f>
        <v>0</v>
      </c>
      <c r="CI235" s="150">
        <f>IF(Tabel2[[#This Row],[LPR 6]]&gt;0,1,0)</f>
        <v>0</v>
      </c>
      <c r="CJ235" s="150">
        <f>IF(Tabel2[[#This Row],[LPR 7]]&gt;0,1,0)</f>
        <v>0</v>
      </c>
      <c r="CK235" s="150">
        <f>IF(Tabel2[[#This Row],[LPR 8]]&gt;0,1,0)</f>
        <v>0</v>
      </c>
      <c r="CL235" s="150">
        <f>IF(Tabel2[[#This Row],[LPR 9]]&gt;0,1,0)</f>
        <v>0</v>
      </c>
      <c r="CM235" s="150">
        <f>IF(Tabel2[[#This Row],[LPR 10]]&gt;0,1,0)</f>
        <v>0</v>
      </c>
      <c r="CN235" s="150">
        <f>SUM(Tabel7[[#This Row],[sep]:[jun]])</f>
        <v>0</v>
      </c>
      <c r="CO235" s="22" t="str">
        <f t="shared" si="25"/>
        <v/>
      </c>
      <c r="CP235" s="22" t="str">
        <f t="shared" si="26"/>
        <v/>
      </c>
      <c r="CQ235" s="22" t="str">
        <f t="shared" si="27"/>
        <v/>
      </c>
      <c r="CR235" s="22" t="str">
        <f t="shared" si="28"/>
        <v/>
      </c>
      <c r="CS235" s="22" t="str">
        <f t="shared" si="29"/>
        <v/>
      </c>
    </row>
    <row r="236" spans="1:97" x14ac:dyDescent="0.3">
      <c r="A236" s="22"/>
      <c r="B236" s="22" t="s">
        <v>157</v>
      </c>
      <c r="D236" s="22" t="s">
        <v>163</v>
      </c>
      <c r="H236" s="154">
        <f>Tabel2[[#This Row],[pnt t/m 2021/22]]+Tabel2[[#This Row],[pnt 2022/2023]]</f>
        <v>0</v>
      </c>
      <c r="J236">
        <v>2023</v>
      </c>
      <c r="K236" s="24">
        <f>Tabel2[[#This Row],[ijkdatum]]-Tabel2[[#This Row],[Geboren]]</f>
        <v>2023</v>
      </c>
      <c r="L236" s="26">
        <f>Tabel2[[#This Row],[TTL 1]]+Tabel2[[#This Row],[TTL 2]]+Tabel2[[#This Row],[TTL 3]]+Tabel2[[#This Row],[TTL 4]]+Tabel2[[#This Row],[TTL 5]]+Tabel2[[#This Row],[TTL 6]]+Tabel2[[#This Row],[TTL 7]]+Tabel2[[#This Row],[TTL 8]]+Tabel2[[#This Row],[TTL 9]]+Tabel2[[#This Row],[TTL 10]]</f>
        <v>0</v>
      </c>
      <c r="M236" s="151"/>
      <c r="N236" s="31"/>
      <c r="O236">
        <v>1</v>
      </c>
      <c r="S236" s="27">
        <f>SUM(Tabel2[[#This Row],[V 1]]*10+Tabel2[[#This Row],[GT 1]])/Tabel2[[#This Row],[AW 1]]*10+Tabel2[[#This Row],[BONUS 1]]</f>
        <v>0</v>
      </c>
      <c r="U236">
        <v>1</v>
      </c>
      <c r="Y236" s="27">
        <f>SUM(Tabel2[[#This Row],[V 2]]*10+Tabel2[[#This Row],[GT 2]])/Tabel2[[#This Row],[AW 2]]*10+Tabel2[[#This Row],[BONUS 2]]</f>
        <v>0</v>
      </c>
      <c r="AA236">
        <v>1</v>
      </c>
      <c r="AE236" s="27">
        <f>SUM(Tabel2[[#This Row],[V 3]]*10+Tabel2[[#This Row],[GT 3]])/Tabel2[[#This Row],[AW 3]]*10+Tabel2[[#This Row],[BONUS 3]]</f>
        <v>0</v>
      </c>
      <c r="AG236">
        <v>1</v>
      </c>
      <c r="AK236" s="27">
        <f>SUM(Tabel2[[#This Row],[V 4]]*10+Tabel2[[#This Row],[GT 4]])/Tabel2[[#This Row],[AW 4]]*10+Tabel2[[#This Row],[BONUS 4]]</f>
        <v>0</v>
      </c>
      <c r="AM236">
        <v>1</v>
      </c>
      <c r="AQ236" s="27">
        <f>SUM(Tabel2[[#This Row],[V 5]]*10+Tabel2[[#This Row],[GT 5]])/Tabel2[[#This Row],[AW 5]]*10+Tabel2[[#This Row],[BONUS 5]]</f>
        <v>0</v>
      </c>
      <c r="AS236">
        <v>1</v>
      </c>
      <c r="AW236" s="27">
        <f>SUM(Tabel2[[#This Row],[V 6]]*10+Tabel2[[#This Row],[GT 6]])/Tabel2[[#This Row],[AW 6]]*10+Tabel2[[#This Row],[BONUS 6]]</f>
        <v>0</v>
      </c>
      <c r="AY236">
        <v>1</v>
      </c>
      <c r="BC236" s="27">
        <f>SUM(Tabel2[[#This Row],[V 7]]*10+Tabel2[[#This Row],[GT 7]])/Tabel2[[#This Row],[AW 7]]*10+Tabel2[[#This Row],[BONUS 7]]</f>
        <v>0</v>
      </c>
      <c r="BE236">
        <v>1</v>
      </c>
      <c r="BI236" s="27">
        <f>SUM(Tabel2[[#This Row],[V 8]]*10+Tabel2[[#This Row],[GT 8]])/Tabel2[[#This Row],[AW 8]]*10+Tabel2[[#This Row],[BONUS 8]]</f>
        <v>0</v>
      </c>
      <c r="BK236">
        <v>1</v>
      </c>
      <c r="BO236" s="27">
        <f>SUM(Tabel2[[#This Row],[V 9]]*10+Tabel2[[#This Row],[GT 9]])/Tabel2[[#This Row],[AW 9]]*10+Tabel2[[#This Row],[BONUS 9]]</f>
        <v>0</v>
      </c>
      <c r="BQ236">
        <v>1</v>
      </c>
      <c r="BU236" s="23">
        <f>SUM(Tabel2[[#This Row],[V 10]]*10+Tabel2[[#This Row],[GT 10]])/Tabel2[[#This Row],[AW 10]]*10+Tabel2[[#This Row],[BONUS 10]]</f>
        <v>0</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6" s="22">
        <v>0</v>
      </c>
      <c r="BX236" s="30">
        <f>Tabel2[[#This Row],[Diploma]]-Tabel2[[#This Row],[Uitgeschreven]]</f>
        <v>0</v>
      </c>
      <c r="BY236" s="14" t="str">
        <f t="shared" si="31"/>
        <v>geen actie</v>
      </c>
      <c r="CB236" s="150">
        <f>Tabel2[[#This Row],[pnt 2022/2023]]</f>
        <v>0</v>
      </c>
      <c r="CC236" s="150">
        <f t="shared" si="32"/>
        <v>0</v>
      </c>
      <c r="CD236" s="150">
        <f>IF(Tabel2[[#This Row],[LPR 1]]&gt;0,1,0)</f>
        <v>0</v>
      </c>
      <c r="CE236" s="150">
        <f>IF(Tabel2[[#This Row],[LPR 2]]&gt;0,1,0)</f>
        <v>0</v>
      </c>
      <c r="CF236" s="150">
        <f>IF(Tabel2[[#This Row],[LPR 3]]&gt;0,1,0)</f>
        <v>0</v>
      </c>
      <c r="CG236" s="150">
        <f>IF(Tabel2[[#This Row],[LPR 4]]&gt;0,1,0)</f>
        <v>0</v>
      </c>
      <c r="CH236" s="150">
        <f>IF(Tabel2[[#This Row],[LPR 5]]&gt;0,1,0)</f>
        <v>0</v>
      </c>
      <c r="CI236" s="150">
        <f>IF(Tabel2[[#This Row],[LPR 6]]&gt;0,1,0)</f>
        <v>0</v>
      </c>
      <c r="CJ236" s="150">
        <f>IF(Tabel2[[#This Row],[LPR 7]]&gt;0,1,0)</f>
        <v>0</v>
      </c>
      <c r="CK236" s="150">
        <f>IF(Tabel2[[#This Row],[LPR 8]]&gt;0,1,0)</f>
        <v>0</v>
      </c>
      <c r="CL236" s="150">
        <f>IF(Tabel2[[#This Row],[LPR 9]]&gt;0,1,0)</f>
        <v>0</v>
      </c>
      <c r="CM236" s="150">
        <f>IF(Tabel2[[#This Row],[LPR 10]]&gt;0,1,0)</f>
        <v>0</v>
      </c>
      <c r="CN236" s="150">
        <f>SUM(Tabel7[[#This Row],[sep]:[jun]])</f>
        <v>0</v>
      </c>
      <c r="CO236" s="22" t="str">
        <f t="shared" si="25"/>
        <v/>
      </c>
      <c r="CP236" s="22" t="str">
        <f t="shared" si="26"/>
        <v/>
      </c>
      <c r="CQ236" s="22" t="str">
        <f t="shared" si="27"/>
        <v/>
      </c>
      <c r="CR236" s="22" t="str">
        <f t="shared" si="28"/>
        <v/>
      </c>
      <c r="CS236" s="22" t="str">
        <f t="shared" si="29"/>
        <v/>
      </c>
    </row>
    <row r="237" spans="1:97" x14ac:dyDescent="0.3">
      <c r="A237" s="22"/>
      <c r="B237" s="22" t="s">
        <v>157</v>
      </c>
      <c r="D237" s="22" t="s">
        <v>163</v>
      </c>
      <c r="H237" s="154">
        <f>Tabel2[[#This Row],[pnt t/m 2021/22]]+Tabel2[[#This Row],[pnt 2022/2023]]</f>
        <v>0</v>
      </c>
      <c r="J237">
        <v>2023</v>
      </c>
      <c r="K237" s="24">
        <f>Tabel2[[#This Row],[ijkdatum]]-Tabel2[[#This Row],[Geboren]]</f>
        <v>2023</v>
      </c>
      <c r="L237" s="26">
        <f>Tabel2[[#This Row],[TTL 1]]+Tabel2[[#This Row],[TTL 2]]+Tabel2[[#This Row],[TTL 3]]+Tabel2[[#This Row],[TTL 4]]+Tabel2[[#This Row],[TTL 5]]+Tabel2[[#This Row],[TTL 6]]+Tabel2[[#This Row],[TTL 7]]+Tabel2[[#This Row],[TTL 8]]+Tabel2[[#This Row],[TTL 9]]+Tabel2[[#This Row],[TTL 10]]</f>
        <v>0</v>
      </c>
      <c r="M237" s="151"/>
      <c r="N237" s="31"/>
      <c r="O237">
        <v>1</v>
      </c>
      <c r="S237" s="27">
        <f>SUM(Tabel2[[#This Row],[V 1]]*10+Tabel2[[#This Row],[GT 1]])/Tabel2[[#This Row],[AW 1]]*10+Tabel2[[#This Row],[BONUS 1]]</f>
        <v>0</v>
      </c>
      <c r="U237">
        <v>1</v>
      </c>
      <c r="Y237" s="27">
        <f>SUM(Tabel2[[#This Row],[V 2]]*10+Tabel2[[#This Row],[GT 2]])/Tabel2[[#This Row],[AW 2]]*10+Tabel2[[#This Row],[BONUS 2]]</f>
        <v>0</v>
      </c>
      <c r="AA237">
        <v>1</v>
      </c>
      <c r="AE237" s="27">
        <f>SUM(Tabel2[[#This Row],[V 3]]*10+Tabel2[[#This Row],[GT 3]])/Tabel2[[#This Row],[AW 3]]*10+Tabel2[[#This Row],[BONUS 3]]</f>
        <v>0</v>
      </c>
      <c r="AG237">
        <v>1</v>
      </c>
      <c r="AK237" s="27">
        <f>SUM(Tabel2[[#This Row],[V 4]]*10+Tabel2[[#This Row],[GT 4]])/Tabel2[[#This Row],[AW 4]]*10+Tabel2[[#This Row],[BONUS 4]]</f>
        <v>0</v>
      </c>
      <c r="AM237">
        <v>1</v>
      </c>
      <c r="AQ237" s="27">
        <f>SUM(Tabel2[[#This Row],[V 5]]*10+Tabel2[[#This Row],[GT 5]])/Tabel2[[#This Row],[AW 5]]*10+Tabel2[[#This Row],[BONUS 5]]</f>
        <v>0</v>
      </c>
      <c r="AS237">
        <v>1</v>
      </c>
      <c r="AW237" s="27">
        <f>SUM(Tabel2[[#This Row],[V 6]]*10+Tabel2[[#This Row],[GT 6]])/Tabel2[[#This Row],[AW 6]]*10+Tabel2[[#This Row],[BONUS 6]]</f>
        <v>0</v>
      </c>
      <c r="AY237">
        <v>1</v>
      </c>
      <c r="BC237" s="27">
        <f>SUM(Tabel2[[#This Row],[V 7]]*10+Tabel2[[#This Row],[GT 7]])/Tabel2[[#This Row],[AW 7]]*10+Tabel2[[#This Row],[BONUS 7]]</f>
        <v>0</v>
      </c>
      <c r="BE237">
        <v>1</v>
      </c>
      <c r="BI237" s="27">
        <f>SUM(Tabel2[[#This Row],[V 8]]*10+Tabel2[[#This Row],[GT 8]])/Tabel2[[#This Row],[AW 8]]*10+Tabel2[[#This Row],[BONUS 8]]</f>
        <v>0</v>
      </c>
      <c r="BK237">
        <v>1</v>
      </c>
      <c r="BO237" s="27">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7" s="22">
        <v>0</v>
      </c>
      <c r="BX237" s="30">
        <f>Tabel2[[#This Row],[Diploma]]-Tabel2[[#This Row],[Uitgeschreven]]</f>
        <v>0</v>
      </c>
      <c r="BY237" s="14" t="str">
        <f t="shared" si="31"/>
        <v>geen actie</v>
      </c>
      <c r="CB237" s="150">
        <f>Tabel2[[#This Row],[pnt 2022/2023]]</f>
        <v>0</v>
      </c>
      <c r="CC237" s="150">
        <f t="shared" si="32"/>
        <v>0</v>
      </c>
      <c r="CD237" s="150">
        <f>IF(Tabel2[[#This Row],[LPR 1]]&gt;0,1,0)</f>
        <v>0</v>
      </c>
      <c r="CE237" s="150">
        <f>IF(Tabel2[[#This Row],[LPR 2]]&gt;0,1,0)</f>
        <v>0</v>
      </c>
      <c r="CF237" s="150">
        <f>IF(Tabel2[[#This Row],[LPR 3]]&gt;0,1,0)</f>
        <v>0</v>
      </c>
      <c r="CG237" s="150">
        <f>IF(Tabel2[[#This Row],[LPR 4]]&gt;0,1,0)</f>
        <v>0</v>
      </c>
      <c r="CH237" s="150">
        <f>IF(Tabel2[[#This Row],[LPR 5]]&gt;0,1,0)</f>
        <v>0</v>
      </c>
      <c r="CI237" s="150">
        <f>IF(Tabel2[[#This Row],[LPR 6]]&gt;0,1,0)</f>
        <v>0</v>
      </c>
      <c r="CJ237" s="150">
        <f>IF(Tabel2[[#This Row],[LPR 7]]&gt;0,1,0)</f>
        <v>0</v>
      </c>
      <c r="CK237" s="150">
        <f>IF(Tabel2[[#This Row],[LPR 8]]&gt;0,1,0)</f>
        <v>0</v>
      </c>
      <c r="CL237" s="150">
        <f>IF(Tabel2[[#This Row],[LPR 9]]&gt;0,1,0)</f>
        <v>0</v>
      </c>
      <c r="CM237" s="150">
        <f>IF(Tabel2[[#This Row],[LPR 10]]&gt;0,1,0)</f>
        <v>0</v>
      </c>
      <c r="CN237" s="150">
        <f>SUM(Tabel7[[#This Row],[sep]:[jun]])</f>
        <v>0</v>
      </c>
      <c r="CO237" s="22" t="str">
        <f t="shared" si="25"/>
        <v/>
      </c>
      <c r="CP237" s="22" t="str">
        <f t="shared" si="26"/>
        <v/>
      </c>
      <c r="CQ237" s="22" t="str">
        <f t="shared" si="27"/>
        <v/>
      </c>
      <c r="CR237" s="22" t="str">
        <f t="shared" si="28"/>
        <v/>
      </c>
      <c r="CS237" s="22" t="str">
        <f t="shared" si="29"/>
        <v/>
      </c>
    </row>
    <row r="238" spans="1:97" x14ac:dyDescent="0.3">
      <c r="A238" s="22"/>
      <c r="B238" s="22" t="s">
        <v>157</v>
      </c>
      <c r="D238" s="22" t="s">
        <v>163</v>
      </c>
      <c r="H238" s="154">
        <f>Tabel2[[#This Row],[pnt t/m 2021/22]]+Tabel2[[#This Row],[pnt 2022/2023]]</f>
        <v>0</v>
      </c>
      <c r="J238">
        <v>2023</v>
      </c>
      <c r="K238" s="24">
        <f>Tabel2[[#This Row],[ijkdatum]]-Tabel2[[#This Row],[Geboren]]</f>
        <v>2023</v>
      </c>
      <c r="L238" s="26">
        <f>Tabel2[[#This Row],[TTL 1]]+Tabel2[[#This Row],[TTL 2]]+Tabel2[[#This Row],[TTL 3]]+Tabel2[[#This Row],[TTL 4]]+Tabel2[[#This Row],[TTL 5]]+Tabel2[[#This Row],[TTL 6]]+Tabel2[[#This Row],[TTL 7]]+Tabel2[[#This Row],[TTL 8]]+Tabel2[[#This Row],[TTL 9]]+Tabel2[[#This Row],[TTL 10]]</f>
        <v>0</v>
      </c>
      <c r="M238" s="151"/>
      <c r="N238" s="31"/>
      <c r="O238">
        <v>1</v>
      </c>
      <c r="S238" s="27">
        <f>SUM(Tabel2[[#This Row],[V 1]]*10+Tabel2[[#This Row],[GT 1]])/Tabel2[[#This Row],[AW 1]]*10+Tabel2[[#This Row],[BONUS 1]]</f>
        <v>0</v>
      </c>
      <c r="U238">
        <v>1</v>
      </c>
      <c r="Y238" s="27">
        <f>SUM(Tabel2[[#This Row],[V 2]]*10+Tabel2[[#This Row],[GT 2]])/Tabel2[[#This Row],[AW 2]]*10+Tabel2[[#This Row],[BONUS 2]]</f>
        <v>0</v>
      </c>
      <c r="AA238">
        <v>1</v>
      </c>
      <c r="AE238" s="27">
        <f>SUM(Tabel2[[#This Row],[V 3]]*10+Tabel2[[#This Row],[GT 3]])/Tabel2[[#This Row],[AW 3]]*10+Tabel2[[#This Row],[BONUS 3]]</f>
        <v>0</v>
      </c>
      <c r="AG238">
        <v>1</v>
      </c>
      <c r="AK238" s="27">
        <f>SUM(Tabel2[[#This Row],[V 4]]*10+Tabel2[[#This Row],[GT 4]])/Tabel2[[#This Row],[AW 4]]*10+Tabel2[[#This Row],[BONUS 4]]</f>
        <v>0</v>
      </c>
      <c r="AM238">
        <v>1</v>
      </c>
      <c r="AQ238" s="27">
        <f>SUM(Tabel2[[#This Row],[V 5]]*10+Tabel2[[#This Row],[GT 5]])/Tabel2[[#This Row],[AW 5]]*10+Tabel2[[#This Row],[BONUS 5]]</f>
        <v>0</v>
      </c>
      <c r="AS238">
        <v>1</v>
      </c>
      <c r="AW238" s="27">
        <f>SUM(Tabel2[[#This Row],[V 6]]*10+Tabel2[[#This Row],[GT 6]])/Tabel2[[#This Row],[AW 6]]*10+Tabel2[[#This Row],[BONUS 6]]</f>
        <v>0</v>
      </c>
      <c r="AY238">
        <v>1</v>
      </c>
      <c r="BC238" s="27">
        <f>SUM(Tabel2[[#This Row],[V 7]]*10+Tabel2[[#This Row],[GT 7]])/Tabel2[[#This Row],[AW 7]]*10+Tabel2[[#This Row],[BONUS 7]]</f>
        <v>0</v>
      </c>
      <c r="BE238">
        <v>1</v>
      </c>
      <c r="BI238" s="27">
        <f>SUM(Tabel2[[#This Row],[V 8]]*10+Tabel2[[#This Row],[GT 8]])/Tabel2[[#This Row],[AW 8]]*10+Tabel2[[#This Row],[BONUS 8]]</f>
        <v>0</v>
      </c>
      <c r="BK238">
        <v>1</v>
      </c>
      <c r="BO238" s="27">
        <f>SUM(Tabel2[[#This Row],[V 9]]*10+Tabel2[[#This Row],[GT 9]])/Tabel2[[#This Row],[AW 9]]*10+Tabel2[[#This Row],[BONUS 9]]</f>
        <v>0</v>
      </c>
      <c r="BQ238">
        <v>1</v>
      </c>
      <c r="BU238" s="23">
        <f>SUM(Tabel2[[#This Row],[V 10]]*10+Tabel2[[#This Row],[GT 10]])/Tabel2[[#This Row],[AW 10]]*10+Tabel2[[#This Row],[BONUS 10]]</f>
        <v>0</v>
      </c>
      <c r="BV2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30">
        <f>Tabel2[[#This Row],[Diploma]]-Tabel2[[#This Row],[Uitgeschreven]]</f>
        <v>0</v>
      </c>
      <c r="BY238" s="14" t="str">
        <f t="shared" si="31"/>
        <v>geen actie</v>
      </c>
      <c r="CB238" s="150">
        <f>Tabel2[[#This Row],[pnt 2022/2023]]</f>
        <v>0</v>
      </c>
      <c r="CC238" s="150">
        <f t="shared" si="32"/>
        <v>0</v>
      </c>
      <c r="CD238" s="150">
        <f>IF(Tabel2[[#This Row],[LPR 1]]&gt;0,1,0)</f>
        <v>0</v>
      </c>
      <c r="CE238" s="150">
        <f>IF(Tabel2[[#This Row],[LPR 2]]&gt;0,1,0)</f>
        <v>0</v>
      </c>
      <c r="CF238" s="150">
        <f>IF(Tabel2[[#This Row],[LPR 3]]&gt;0,1,0)</f>
        <v>0</v>
      </c>
      <c r="CG238" s="150">
        <f>IF(Tabel2[[#This Row],[LPR 4]]&gt;0,1,0)</f>
        <v>0</v>
      </c>
      <c r="CH238" s="150">
        <f>IF(Tabel2[[#This Row],[LPR 5]]&gt;0,1,0)</f>
        <v>0</v>
      </c>
      <c r="CI238" s="150">
        <f>IF(Tabel2[[#This Row],[LPR 6]]&gt;0,1,0)</f>
        <v>0</v>
      </c>
      <c r="CJ238" s="150">
        <f>IF(Tabel2[[#This Row],[LPR 7]]&gt;0,1,0)</f>
        <v>0</v>
      </c>
      <c r="CK238" s="150">
        <f>IF(Tabel2[[#This Row],[LPR 8]]&gt;0,1,0)</f>
        <v>0</v>
      </c>
      <c r="CL238" s="150">
        <f>IF(Tabel2[[#This Row],[LPR 9]]&gt;0,1,0)</f>
        <v>0</v>
      </c>
      <c r="CM238" s="150">
        <f>IF(Tabel2[[#This Row],[LPR 10]]&gt;0,1,0)</f>
        <v>0</v>
      </c>
      <c r="CN238" s="150">
        <f>SUM(Tabel7[[#This Row],[sep]:[jun]])</f>
        <v>0</v>
      </c>
      <c r="CO238" s="22" t="str">
        <f t="shared" si="25"/>
        <v/>
      </c>
      <c r="CP238" s="22" t="str">
        <f t="shared" si="26"/>
        <v/>
      </c>
      <c r="CQ238" s="22" t="str">
        <f t="shared" si="27"/>
        <v/>
      </c>
      <c r="CR238" s="22" t="str">
        <f t="shared" si="28"/>
        <v/>
      </c>
      <c r="CS238" s="22" t="str">
        <f t="shared" si="29"/>
        <v/>
      </c>
    </row>
    <row r="239" spans="1:97" x14ac:dyDescent="0.3">
      <c r="A239" s="22"/>
      <c r="B239" s="22" t="s">
        <v>157</v>
      </c>
      <c r="D239" s="22" t="s">
        <v>163</v>
      </c>
      <c r="H239" s="154">
        <f>Tabel2[[#This Row],[pnt t/m 2021/22]]+Tabel2[[#This Row],[pnt 2022/2023]]</f>
        <v>0</v>
      </c>
      <c r="J239">
        <v>2023</v>
      </c>
      <c r="K239" s="24">
        <f>Tabel2[[#This Row],[ijkdatum]]-Tabel2[[#This Row],[Geboren]]</f>
        <v>2023</v>
      </c>
      <c r="L239" s="26">
        <f>Tabel2[[#This Row],[TTL 1]]+Tabel2[[#This Row],[TTL 2]]+Tabel2[[#This Row],[TTL 3]]+Tabel2[[#This Row],[TTL 4]]+Tabel2[[#This Row],[TTL 5]]+Tabel2[[#This Row],[TTL 6]]+Tabel2[[#This Row],[TTL 7]]+Tabel2[[#This Row],[TTL 8]]+Tabel2[[#This Row],[TTL 9]]+Tabel2[[#This Row],[TTL 10]]</f>
        <v>0</v>
      </c>
      <c r="M239" s="151"/>
      <c r="N239" s="31"/>
      <c r="O239">
        <v>1</v>
      </c>
      <c r="S239" s="27">
        <f>SUM(Tabel2[[#This Row],[V 1]]*10+Tabel2[[#This Row],[GT 1]])/Tabel2[[#This Row],[AW 1]]*10+Tabel2[[#This Row],[BONUS 1]]</f>
        <v>0</v>
      </c>
      <c r="U239">
        <v>1</v>
      </c>
      <c r="Y239" s="27">
        <f>SUM(Tabel2[[#This Row],[V 2]]*10+Tabel2[[#This Row],[GT 2]])/Tabel2[[#This Row],[AW 2]]*10+Tabel2[[#This Row],[BONUS 2]]</f>
        <v>0</v>
      </c>
      <c r="AA239">
        <v>1</v>
      </c>
      <c r="AE239" s="27">
        <f>SUM(Tabel2[[#This Row],[V 3]]*10+Tabel2[[#This Row],[GT 3]])/Tabel2[[#This Row],[AW 3]]*10+Tabel2[[#This Row],[BONUS 3]]</f>
        <v>0</v>
      </c>
      <c r="AG239">
        <v>1</v>
      </c>
      <c r="AK239" s="27">
        <f>SUM(Tabel2[[#This Row],[V 4]]*10+Tabel2[[#This Row],[GT 4]])/Tabel2[[#This Row],[AW 4]]*10+Tabel2[[#This Row],[BONUS 4]]</f>
        <v>0</v>
      </c>
      <c r="AM239">
        <v>1</v>
      </c>
      <c r="AQ239" s="27">
        <f>SUM(Tabel2[[#This Row],[V 5]]*10+Tabel2[[#This Row],[GT 5]])/Tabel2[[#This Row],[AW 5]]*10+Tabel2[[#This Row],[BONUS 5]]</f>
        <v>0</v>
      </c>
      <c r="AS239">
        <v>1</v>
      </c>
      <c r="AW239" s="27">
        <f>SUM(Tabel2[[#This Row],[V 6]]*10+Tabel2[[#This Row],[GT 6]])/Tabel2[[#This Row],[AW 6]]*10+Tabel2[[#This Row],[BONUS 6]]</f>
        <v>0</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30">
        <f>Tabel2[[#This Row],[Diploma]]-Tabel2[[#This Row],[Uitgeschreven]]</f>
        <v>0</v>
      </c>
      <c r="BY239" s="14" t="str">
        <f t="shared" si="31"/>
        <v>geen actie</v>
      </c>
      <c r="CB239" s="150">
        <f>Tabel2[[#This Row],[pnt 2022/2023]]</f>
        <v>0</v>
      </c>
      <c r="CC239" s="150">
        <f t="shared" si="32"/>
        <v>0</v>
      </c>
      <c r="CD239" s="150">
        <f>IF(Tabel2[[#This Row],[LPR 1]]&gt;0,1,0)</f>
        <v>0</v>
      </c>
      <c r="CE239" s="150">
        <f>IF(Tabel2[[#This Row],[LPR 2]]&gt;0,1,0)</f>
        <v>0</v>
      </c>
      <c r="CF239" s="150">
        <f>IF(Tabel2[[#This Row],[LPR 3]]&gt;0,1,0)</f>
        <v>0</v>
      </c>
      <c r="CG239" s="150">
        <f>IF(Tabel2[[#This Row],[LPR 4]]&gt;0,1,0)</f>
        <v>0</v>
      </c>
      <c r="CH239" s="150">
        <f>IF(Tabel2[[#This Row],[LPR 5]]&gt;0,1,0)</f>
        <v>0</v>
      </c>
      <c r="CI239" s="150">
        <f>IF(Tabel2[[#This Row],[LPR 6]]&gt;0,1,0)</f>
        <v>0</v>
      </c>
      <c r="CJ239" s="150">
        <f>IF(Tabel2[[#This Row],[LPR 7]]&gt;0,1,0)</f>
        <v>0</v>
      </c>
      <c r="CK239" s="150">
        <f>IF(Tabel2[[#This Row],[LPR 8]]&gt;0,1,0)</f>
        <v>0</v>
      </c>
      <c r="CL239" s="150">
        <f>IF(Tabel2[[#This Row],[LPR 9]]&gt;0,1,0)</f>
        <v>0</v>
      </c>
      <c r="CM239" s="150">
        <f>IF(Tabel2[[#This Row],[LPR 10]]&gt;0,1,0)</f>
        <v>0</v>
      </c>
      <c r="CN239" s="150">
        <f>SUM(Tabel7[[#This Row],[sep]:[jun]])</f>
        <v>0</v>
      </c>
      <c r="CO239" s="22" t="str">
        <f t="shared" si="25"/>
        <v/>
      </c>
      <c r="CP239" s="22" t="str">
        <f t="shared" si="26"/>
        <v/>
      </c>
      <c r="CQ239" s="22" t="str">
        <f t="shared" si="27"/>
        <v/>
      </c>
      <c r="CR239" s="22" t="str">
        <f t="shared" si="28"/>
        <v/>
      </c>
      <c r="CS239" s="22" t="str">
        <f t="shared" si="29"/>
        <v/>
      </c>
    </row>
    <row r="240" spans="1:97" x14ac:dyDescent="0.3">
      <c r="A240" s="22"/>
      <c r="B240" s="22" t="s">
        <v>157</v>
      </c>
      <c r="D240" s="22" t="s">
        <v>163</v>
      </c>
      <c r="H240" s="154">
        <f>Tabel2[[#This Row],[pnt t/m 2021/22]]+Tabel2[[#This Row],[pnt 2022/2023]]</f>
        <v>0</v>
      </c>
      <c r="J240">
        <v>2023</v>
      </c>
      <c r="K240" s="24">
        <f>Tabel2[[#This Row],[ijkdatum]]-Tabel2[[#This Row],[Geboren]]</f>
        <v>2023</v>
      </c>
      <c r="L240" s="26">
        <f>Tabel2[[#This Row],[TTL 1]]+Tabel2[[#This Row],[TTL 2]]+Tabel2[[#This Row],[TTL 3]]+Tabel2[[#This Row],[TTL 4]]+Tabel2[[#This Row],[TTL 5]]+Tabel2[[#This Row],[TTL 6]]+Tabel2[[#This Row],[TTL 7]]+Tabel2[[#This Row],[TTL 8]]+Tabel2[[#This Row],[TTL 9]]+Tabel2[[#This Row],[TTL 10]]</f>
        <v>0</v>
      </c>
      <c r="M240" s="151"/>
      <c r="N240" s="31"/>
      <c r="O240">
        <v>1</v>
      </c>
      <c r="S240" s="27">
        <f>SUM(Tabel2[[#This Row],[V 1]]*10+Tabel2[[#This Row],[GT 1]])/Tabel2[[#This Row],[AW 1]]*10+Tabel2[[#This Row],[BONUS 1]]</f>
        <v>0</v>
      </c>
      <c r="U240">
        <v>1</v>
      </c>
      <c r="Y240" s="27">
        <f>SUM(Tabel2[[#This Row],[V 2]]*10+Tabel2[[#This Row],[GT 2]])/Tabel2[[#This Row],[AW 2]]*10+Tabel2[[#This Row],[BONUS 2]]</f>
        <v>0</v>
      </c>
      <c r="AA240">
        <v>1</v>
      </c>
      <c r="AE240" s="27">
        <f>SUM(Tabel2[[#This Row],[V 3]]*10+Tabel2[[#This Row],[GT 3]])/Tabel2[[#This Row],[AW 3]]*10+Tabel2[[#This Row],[BONUS 3]]</f>
        <v>0</v>
      </c>
      <c r="AG240">
        <v>1</v>
      </c>
      <c r="AK240" s="27">
        <f>SUM(Tabel2[[#This Row],[V 4]]*10+Tabel2[[#This Row],[GT 4]])/Tabel2[[#This Row],[AW 4]]*10+Tabel2[[#This Row],[BONUS 4]]</f>
        <v>0</v>
      </c>
      <c r="AM240">
        <v>1</v>
      </c>
      <c r="AQ240" s="27">
        <f>SUM(Tabel2[[#This Row],[V 5]]*10+Tabel2[[#This Row],[GT 5]])/Tabel2[[#This Row],[AW 5]]*10+Tabel2[[#This Row],[BONUS 5]]</f>
        <v>0</v>
      </c>
      <c r="AS240">
        <v>1</v>
      </c>
      <c r="AW240" s="27">
        <f>SUM(Tabel2[[#This Row],[V 6]]*10+Tabel2[[#This Row],[GT 6]])/Tabel2[[#This Row],[AW 6]]*10+Tabel2[[#This Row],[BONUS 6]]</f>
        <v>0</v>
      </c>
      <c r="AY240">
        <v>1</v>
      </c>
      <c r="BC240" s="27">
        <f>SUM(Tabel2[[#This Row],[V 7]]*10+Tabel2[[#This Row],[GT 7]])/Tabel2[[#This Row],[AW 7]]*10+Tabel2[[#This Row],[BONUS 7]]</f>
        <v>0</v>
      </c>
      <c r="BE240">
        <v>1</v>
      </c>
      <c r="BI240" s="27">
        <f>SUM(Tabel2[[#This Row],[V 8]]*10+Tabel2[[#This Row],[GT 8]])/Tabel2[[#This Row],[AW 8]]*10+Tabel2[[#This Row],[BONUS 8]]</f>
        <v>0</v>
      </c>
      <c r="BK240">
        <v>1</v>
      </c>
      <c r="BO240" s="27">
        <f>SUM(Tabel2[[#This Row],[V 9]]*10+Tabel2[[#This Row],[GT 9]])/Tabel2[[#This Row],[AW 9]]*10+Tabel2[[#This Row],[BONUS 9]]</f>
        <v>0</v>
      </c>
      <c r="BQ240">
        <v>1</v>
      </c>
      <c r="BU240" s="23">
        <f>SUM(Tabel2[[#This Row],[V 10]]*10+Tabel2[[#This Row],[GT 10]])/Tabel2[[#This Row],[AW 10]]*10+Tabel2[[#This Row],[BONUS 10]]</f>
        <v>0</v>
      </c>
      <c r="BV2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0" s="22">
        <v>0</v>
      </c>
      <c r="BX240" s="30">
        <f>Tabel2[[#This Row],[Diploma]]-Tabel2[[#This Row],[Uitgeschreven]]</f>
        <v>0</v>
      </c>
      <c r="BY240" s="14" t="str">
        <f t="shared" si="31"/>
        <v>geen actie</v>
      </c>
      <c r="CB240" s="150">
        <f>Tabel2[[#This Row],[pnt 2022/2023]]</f>
        <v>0</v>
      </c>
      <c r="CC240" s="150">
        <f t="shared" si="32"/>
        <v>0</v>
      </c>
      <c r="CD240" s="150">
        <f>IF(Tabel2[[#This Row],[LPR 1]]&gt;0,1,0)</f>
        <v>0</v>
      </c>
      <c r="CE240" s="150">
        <f>IF(Tabel2[[#This Row],[LPR 2]]&gt;0,1,0)</f>
        <v>0</v>
      </c>
      <c r="CF240" s="150">
        <f>IF(Tabel2[[#This Row],[LPR 3]]&gt;0,1,0)</f>
        <v>0</v>
      </c>
      <c r="CG240" s="150">
        <f>IF(Tabel2[[#This Row],[LPR 4]]&gt;0,1,0)</f>
        <v>0</v>
      </c>
      <c r="CH240" s="150">
        <f>IF(Tabel2[[#This Row],[LPR 5]]&gt;0,1,0)</f>
        <v>0</v>
      </c>
      <c r="CI240" s="150">
        <f>IF(Tabel2[[#This Row],[LPR 6]]&gt;0,1,0)</f>
        <v>0</v>
      </c>
      <c r="CJ240" s="150">
        <f>IF(Tabel2[[#This Row],[LPR 7]]&gt;0,1,0)</f>
        <v>0</v>
      </c>
      <c r="CK240" s="150">
        <f>IF(Tabel2[[#This Row],[LPR 8]]&gt;0,1,0)</f>
        <v>0</v>
      </c>
      <c r="CL240" s="150">
        <f>IF(Tabel2[[#This Row],[LPR 9]]&gt;0,1,0)</f>
        <v>0</v>
      </c>
      <c r="CM240" s="150">
        <f>IF(Tabel2[[#This Row],[LPR 10]]&gt;0,1,0)</f>
        <v>0</v>
      </c>
      <c r="CN240" s="150">
        <f>SUM(Tabel7[[#This Row],[sep]:[jun]])</f>
        <v>0</v>
      </c>
      <c r="CO240" s="22" t="str">
        <f t="shared" si="25"/>
        <v/>
      </c>
      <c r="CP240" s="22" t="str">
        <f t="shared" si="26"/>
        <v/>
      </c>
      <c r="CQ240" s="22" t="str">
        <f t="shared" si="27"/>
        <v/>
      </c>
      <c r="CR240" s="22" t="str">
        <f t="shared" si="28"/>
        <v/>
      </c>
      <c r="CS240" s="22" t="str">
        <f t="shared" si="29"/>
        <v/>
      </c>
    </row>
    <row r="241" spans="1:97" x14ac:dyDescent="0.3">
      <c r="A241" s="22"/>
      <c r="B241" s="22" t="s">
        <v>157</v>
      </c>
      <c r="D241" s="22" t="s">
        <v>163</v>
      </c>
      <c r="H241" s="154">
        <f>Tabel2[[#This Row],[pnt t/m 2021/22]]+Tabel2[[#This Row],[pnt 2022/2023]]</f>
        <v>0</v>
      </c>
      <c r="J241">
        <v>2023</v>
      </c>
      <c r="K241" s="24">
        <f>Tabel2[[#This Row],[ijkdatum]]-Tabel2[[#This Row],[Geboren]]</f>
        <v>2023</v>
      </c>
      <c r="L241" s="26">
        <f>Tabel2[[#This Row],[TTL 1]]+Tabel2[[#This Row],[TTL 2]]+Tabel2[[#This Row],[TTL 3]]+Tabel2[[#This Row],[TTL 4]]+Tabel2[[#This Row],[TTL 5]]+Tabel2[[#This Row],[TTL 6]]+Tabel2[[#This Row],[TTL 7]]+Tabel2[[#This Row],[TTL 8]]+Tabel2[[#This Row],[TTL 9]]+Tabel2[[#This Row],[TTL 10]]</f>
        <v>0</v>
      </c>
      <c r="M241" s="151"/>
      <c r="N241" s="31"/>
      <c r="O241">
        <v>1</v>
      </c>
      <c r="S241" s="27">
        <f>SUM(Tabel2[[#This Row],[V 1]]*10+Tabel2[[#This Row],[GT 1]])/Tabel2[[#This Row],[AW 1]]*10+Tabel2[[#This Row],[BONUS 1]]</f>
        <v>0</v>
      </c>
      <c r="U241">
        <v>1</v>
      </c>
      <c r="Y241" s="27">
        <f>SUM(Tabel2[[#This Row],[V 2]]*10+Tabel2[[#This Row],[GT 2]])/Tabel2[[#This Row],[AW 2]]*10+Tabel2[[#This Row],[BONUS 2]]</f>
        <v>0</v>
      </c>
      <c r="AA241">
        <v>1</v>
      </c>
      <c r="AE241" s="27">
        <f>SUM(Tabel2[[#This Row],[V 3]]*10+Tabel2[[#This Row],[GT 3]])/Tabel2[[#This Row],[AW 3]]*10+Tabel2[[#This Row],[BONUS 3]]</f>
        <v>0</v>
      </c>
      <c r="AG241">
        <v>1</v>
      </c>
      <c r="AK241" s="27">
        <f>SUM(Tabel2[[#This Row],[V 4]]*10+Tabel2[[#This Row],[GT 4]])/Tabel2[[#This Row],[AW 4]]*10+Tabel2[[#This Row],[BONUS 4]]</f>
        <v>0</v>
      </c>
      <c r="AM241">
        <v>1</v>
      </c>
      <c r="AQ241" s="27">
        <f>SUM(Tabel2[[#This Row],[V 5]]*10+Tabel2[[#This Row],[GT 5]])/Tabel2[[#This Row],[AW 5]]*10+Tabel2[[#This Row],[BONUS 5]]</f>
        <v>0</v>
      </c>
      <c r="AS241">
        <v>1</v>
      </c>
      <c r="AW241" s="27">
        <f>SUM(Tabel2[[#This Row],[V 6]]*10+Tabel2[[#This Row],[GT 6]])/Tabel2[[#This Row],[AW 6]]*10+Tabel2[[#This Row],[BONUS 6]]</f>
        <v>0</v>
      </c>
      <c r="AY241">
        <v>1</v>
      </c>
      <c r="BC241" s="27">
        <f>SUM(Tabel2[[#This Row],[V 7]]*10+Tabel2[[#This Row],[GT 7]])/Tabel2[[#This Row],[AW 7]]*10+Tabel2[[#This Row],[BONUS 7]]</f>
        <v>0</v>
      </c>
      <c r="BE241">
        <v>1</v>
      </c>
      <c r="BI241" s="27">
        <f>SUM(Tabel2[[#This Row],[V 8]]*10+Tabel2[[#This Row],[GT 8]])/Tabel2[[#This Row],[AW 8]]*10+Tabel2[[#This Row],[BONUS 8]]</f>
        <v>0</v>
      </c>
      <c r="BK241">
        <v>1</v>
      </c>
      <c r="BO241" s="27">
        <f>SUM(Tabel2[[#This Row],[V 9]]*10+Tabel2[[#This Row],[GT 9]])/Tabel2[[#This Row],[AW 9]]*10+Tabel2[[#This Row],[BONUS 9]]</f>
        <v>0</v>
      </c>
      <c r="BQ241">
        <v>1</v>
      </c>
      <c r="BU241" s="23">
        <f>SUM(Tabel2[[#This Row],[V 10]]*10+Tabel2[[#This Row],[GT 10]])/Tabel2[[#This Row],[AW 10]]*10+Tabel2[[#This Row],[BONUS 10]]</f>
        <v>0</v>
      </c>
      <c r="BV2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30">
        <f>Tabel2[[#This Row],[Diploma]]-Tabel2[[#This Row],[Uitgeschreven]]</f>
        <v>0</v>
      </c>
      <c r="BY241" s="14" t="str">
        <f t="shared" si="31"/>
        <v>geen actie</v>
      </c>
      <c r="CB241" s="150">
        <f>Tabel2[[#This Row],[pnt 2022/2023]]</f>
        <v>0</v>
      </c>
      <c r="CC241" s="150">
        <f t="shared" si="32"/>
        <v>0</v>
      </c>
      <c r="CD241" s="150">
        <f>IF(Tabel2[[#This Row],[LPR 1]]&gt;0,1,0)</f>
        <v>0</v>
      </c>
      <c r="CE241" s="150">
        <f>IF(Tabel2[[#This Row],[LPR 2]]&gt;0,1,0)</f>
        <v>0</v>
      </c>
      <c r="CF241" s="150">
        <f>IF(Tabel2[[#This Row],[LPR 3]]&gt;0,1,0)</f>
        <v>0</v>
      </c>
      <c r="CG241" s="150">
        <f>IF(Tabel2[[#This Row],[LPR 4]]&gt;0,1,0)</f>
        <v>0</v>
      </c>
      <c r="CH241" s="150">
        <f>IF(Tabel2[[#This Row],[LPR 5]]&gt;0,1,0)</f>
        <v>0</v>
      </c>
      <c r="CI241" s="150">
        <f>IF(Tabel2[[#This Row],[LPR 6]]&gt;0,1,0)</f>
        <v>0</v>
      </c>
      <c r="CJ241" s="150">
        <f>IF(Tabel2[[#This Row],[LPR 7]]&gt;0,1,0)</f>
        <v>0</v>
      </c>
      <c r="CK241" s="150">
        <f>IF(Tabel2[[#This Row],[LPR 8]]&gt;0,1,0)</f>
        <v>0</v>
      </c>
      <c r="CL241" s="150">
        <f>IF(Tabel2[[#This Row],[LPR 9]]&gt;0,1,0)</f>
        <v>0</v>
      </c>
      <c r="CM241" s="150">
        <f>IF(Tabel2[[#This Row],[LPR 10]]&gt;0,1,0)</f>
        <v>0</v>
      </c>
      <c r="CN241" s="150">
        <f>SUM(Tabel7[[#This Row],[sep]:[jun]])</f>
        <v>0</v>
      </c>
      <c r="CO241" s="22" t="str">
        <f t="shared" si="25"/>
        <v/>
      </c>
      <c r="CP241" s="22" t="str">
        <f t="shared" si="26"/>
        <v/>
      </c>
      <c r="CQ241" s="22" t="str">
        <f t="shared" si="27"/>
        <v/>
      </c>
      <c r="CR241" s="22" t="str">
        <f t="shared" si="28"/>
        <v/>
      </c>
      <c r="CS241" s="22" t="str">
        <f t="shared" si="29"/>
        <v/>
      </c>
    </row>
    <row r="242" spans="1:97" x14ac:dyDescent="0.3">
      <c r="A242" s="22"/>
      <c r="B242" s="22" t="s">
        <v>157</v>
      </c>
      <c r="D242" s="22" t="s">
        <v>163</v>
      </c>
      <c r="H242" s="154">
        <f>Tabel2[[#This Row],[pnt t/m 2021/22]]+Tabel2[[#This Row],[pnt 2022/2023]]</f>
        <v>0</v>
      </c>
      <c r="J242">
        <v>2023</v>
      </c>
      <c r="K242" s="24">
        <f>Tabel2[[#This Row],[ijkdatum]]-Tabel2[[#This Row],[Geboren]]</f>
        <v>2023</v>
      </c>
      <c r="L242" s="26">
        <f>Tabel2[[#This Row],[TTL 1]]+Tabel2[[#This Row],[TTL 2]]+Tabel2[[#This Row],[TTL 3]]+Tabel2[[#This Row],[TTL 4]]+Tabel2[[#This Row],[TTL 5]]+Tabel2[[#This Row],[TTL 6]]+Tabel2[[#This Row],[TTL 7]]+Tabel2[[#This Row],[TTL 8]]+Tabel2[[#This Row],[TTL 9]]+Tabel2[[#This Row],[TTL 10]]</f>
        <v>0</v>
      </c>
      <c r="M242" s="151"/>
      <c r="N242" s="31"/>
      <c r="O242">
        <v>1</v>
      </c>
      <c r="S242" s="27">
        <f>SUM(Tabel2[[#This Row],[V 1]]*10+Tabel2[[#This Row],[GT 1]])/Tabel2[[#This Row],[AW 1]]*10+Tabel2[[#This Row],[BONUS 1]]</f>
        <v>0</v>
      </c>
      <c r="U242">
        <v>1</v>
      </c>
      <c r="Y242" s="27">
        <f>SUM(Tabel2[[#This Row],[V 2]]*10+Tabel2[[#This Row],[GT 2]])/Tabel2[[#This Row],[AW 2]]*10+Tabel2[[#This Row],[BONUS 2]]</f>
        <v>0</v>
      </c>
      <c r="AA242">
        <v>1</v>
      </c>
      <c r="AE242" s="27">
        <f>SUM(Tabel2[[#This Row],[V 3]]*10+Tabel2[[#This Row],[GT 3]])/Tabel2[[#This Row],[AW 3]]*10+Tabel2[[#This Row],[BONUS 3]]</f>
        <v>0</v>
      </c>
      <c r="AG242">
        <v>1</v>
      </c>
      <c r="AK242" s="27">
        <f>SUM(Tabel2[[#This Row],[V 4]]*10+Tabel2[[#This Row],[GT 4]])/Tabel2[[#This Row],[AW 4]]*10+Tabel2[[#This Row],[BONUS 4]]</f>
        <v>0</v>
      </c>
      <c r="AM242">
        <v>1</v>
      </c>
      <c r="AQ242" s="27">
        <f>SUM(Tabel2[[#This Row],[V 5]]*10+Tabel2[[#This Row],[GT 5]])/Tabel2[[#This Row],[AW 5]]*10+Tabel2[[#This Row],[BONUS 5]]</f>
        <v>0</v>
      </c>
      <c r="AS242">
        <v>1</v>
      </c>
      <c r="AW242" s="27">
        <f>SUM(Tabel2[[#This Row],[V 6]]*10+Tabel2[[#This Row],[GT 6]])/Tabel2[[#This Row],[AW 6]]*10+Tabel2[[#This Row],[BONUS 6]]</f>
        <v>0</v>
      </c>
      <c r="AY242">
        <v>1</v>
      </c>
      <c r="BC242" s="27">
        <f>SUM(Tabel2[[#This Row],[V 7]]*10+Tabel2[[#This Row],[GT 7]])/Tabel2[[#This Row],[AW 7]]*10+Tabel2[[#This Row],[BONUS 7]]</f>
        <v>0</v>
      </c>
      <c r="BE242">
        <v>1</v>
      </c>
      <c r="BI242" s="27">
        <f>SUM(Tabel2[[#This Row],[V 8]]*10+Tabel2[[#This Row],[GT 8]])/Tabel2[[#This Row],[AW 8]]*10+Tabel2[[#This Row],[BONUS 8]]</f>
        <v>0</v>
      </c>
      <c r="BK242">
        <v>1</v>
      </c>
      <c r="BO242" s="27">
        <f>SUM(Tabel2[[#This Row],[V 9]]*10+Tabel2[[#This Row],[GT 9]])/Tabel2[[#This Row],[AW 9]]*10+Tabel2[[#This Row],[BONUS 9]]</f>
        <v>0</v>
      </c>
      <c r="BQ242">
        <v>1</v>
      </c>
      <c r="BU242" s="23">
        <f>SUM(Tabel2[[#This Row],[V 10]]*10+Tabel2[[#This Row],[GT 10]])/Tabel2[[#This Row],[AW 10]]*10+Tabel2[[#This Row],[BONUS 10]]</f>
        <v>0</v>
      </c>
      <c r="BV2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30">
        <f>Tabel2[[#This Row],[Diploma]]-Tabel2[[#This Row],[Uitgeschreven]]</f>
        <v>0</v>
      </c>
      <c r="BY242" s="14" t="str">
        <f t="shared" si="31"/>
        <v>geen actie</v>
      </c>
      <c r="CB242" s="150">
        <f>Tabel2[[#This Row],[pnt 2022/2023]]</f>
        <v>0</v>
      </c>
      <c r="CC242" s="150">
        <f t="shared" si="32"/>
        <v>0</v>
      </c>
      <c r="CD242" s="150">
        <f>IF(Tabel2[[#This Row],[LPR 1]]&gt;0,1,0)</f>
        <v>0</v>
      </c>
      <c r="CE242" s="150">
        <f>IF(Tabel2[[#This Row],[LPR 2]]&gt;0,1,0)</f>
        <v>0</v>
      </c>
      <c r="CF242" s="150">
        <f>IF(Tabel2[[#This Row],[LPR 3]]&gt;0,1,0)</f>
        <v>0</v>
      </c>
      <c r="CG242" s="150">
        <f>IF(Tabel2[[#This Row],[LPR 4]]&gt;0,1,0)</f>
        <v>0</v>
      </c>
      <c r="CH242" s="150">
        <f>IF(Tabel2[[#This Row],[LPR 5]]&gt;0,1,0)</f>
        <v>0</v>
      </c>
      <c r="CI242" s="150">
        <f>IF(Tabel2[[#This Row],[LPR 6]]&gt;0,1,0)</f>
        <v>0</v>
      </c>
      <c r="CJ242" s="150">
        <f>IF(Tabel2[[#This Row],[LPR 7]]&gt;0,1,0)</f>
        <v>0</v>
      </c>
      <c r="CK242" s="150">
        <f>IF(Tabel2[[#This Row],[LPR 8]]&gt;0,1,0)</f>
        <v>0</v>
      </c>
      <c r="CL242" s="150">
        <f>IF(Tabel2[[#This Row],[LPR 9]]&gt;0,1,0)</f>
        <v>0</v>
      </c>
      <c r="CM242" s="150">
        <f>IF(Tabel2[[#This Row],[LPR 10]]&gt;0,1,0)</f>
        <v>0</v>
      </c>
      <c r="CN242" s="150">
        <f>SUM(Tabel7[[#This Row],[sep]:[jun]])</f>
        <v>0</v>
      </c>
      <c r="CO242" s="22" t="str">
        <f t="shared" si="25"/>
        <v/>
      </c>
      <c r="CP242" s="22" t="str">
        <f t="shared" si="26"/>
        <v/>
      </c>
      <c r="CQ242" s="22" t="str">
        <f t="shared" si="27"/>
        <v/>
      </c>
      <c r="CR242" s="22" t="str">
        <f t="shared" si="28"/>
        <v/>
      </c>
      <c r="CS242" s="22" t="str">
        <f t="shared" si="29"/>
        <v/>
      </c>
    </row>
    <row r="243" spans="1:97" x14ac:dyDescent="0.3">
      <c r="A243" s="22"/>
      <c r="B243" s="22" t="s">
        <v>157</v>
      </c>
      <c r="D243" s="22" t="s">
        <v>163</v>
      </c>
      <c r="H243" s="154">
        <f>Tabel2[[#This Row],[pnt t/m 2021/22]]+Tabel2[[#This Row],[pnt 2022/2023]]</f>
        <v>0</v>
      </c>
      <c r="J243">
        <v>2023</v>
      </c>
      <c r="K243" s="24">
        <f>Tabel2[[#This Row],[ijkdatum]]-Tabel2[[#This Row],[Geboren]]</f>
        <v>2023</v>
      </c>
      <c r="L243" s="26">
        <f>Tabel2[[#This Row],[TTL 1]]+Tabel2[[#This Row],[TTL 2]]+Tabel2[[#This Row],[TTL 3]]+Tabel2[[#This Row],[TTL 4]]+Tabel2[[#This Row],[TTL 5]]+Tabel2[[#This Row],[TTL 6]]+Tabel2[[#This Row],[TTL 7]]+Tabel2[[#This Row],[TTL 8]]+Tabel2[[#This Row],[TTL 9]]+Tabel2[[#This Row],[TTL 10]]</f>
        <v>0</v>
      </c>
      <c r="M243" s="151"/>
      <c r="N243" s="31"/>
      <c r="O243">
        <v>1</v>
      </c>
      <c r="S243" s="27">
        <f>SUM(Tabel2[[#This Row],[V 1]]*10+Tabel2[[#This Row],[GT 1]])/Tabel2[[#This Row],[AW 1]]*10+Tabel2[[#This Row],[BONUS 1]]</f>
        <v>0</v>
      </c>
      <c r="U243">
        <v>1</v>
      </c>
      <c r="Y243" s="27">
        <f>SUM(Tabel2[[#This Row],[V 2]]*10+Tabel2[[#This Row],[GT 2]])/Tabel2[[#This Row],[AW 2]]*10+Tabel2[[#This Row],[BONUS 2]]</f>
        <v>0</v>
      </c>
      <c r="AA243">
        <v>1</v>
      </c>
      <c r="AE243" s="27">
        <f>SUM(Tabel2[[#This Row],[V 3]]*10+Tabel2[[#This Row],[GT 3]])/Tabel2[[#This Row],[AW 3]]*10+Tabel2[[#This Row],[BONUS 3]]</f>
        <v>0</v>
      </c>
      <c r="AG243">
        <v>1</v>
      </c>
      <c r="AK243" s="27">
        <f>SUM(Tabel2[[#This Row],[V 4]]*10+Tabel2[[#This Row],[GT 4]])/Tabel2[[#This Row],[AW 4]]*10+Tabel2[[#This Row],[BONUS 4]]</f>
        <v>0</v>
      </c>
      <c r="AM243">
        <v>1</v>
      </c>
      <c r="AQ243" s="27">
        <f>SUM(Tabel2[[#This Row],[V 5]]*10+Tabel2[[#This Row],[GT 5]])/Tabel2[[#This Row],[AW 5]]*10+Tabel2[[#This Row],[BONUS 5]]</f>
        <v>0</v>
      </c>
      <c r="AS243">
        <v>1</v>
      </c>
      <c r="AW243" s="27">
        <f>SUM(Tabel2[[#This Row],[V 6]]*10+Tabel2[[#This Row],[GT 6]])/Tabel2[[#This Row],[AW 6]]*10+Tabel2[[#This Row],[BONUS 6]]</f>
        <v>0</v>
      </c>
      <c r="AY243">
        <v>1</v>
      </c>
      <c r="BC243" s="27">
        <f>SUM(Tabel2[[#This Row],[V 7]]*10+Tabel2[[#This Row],[GT 7]])/Tabel2[[#This Row],[AW 7]]*10+Tabel2[[#This Row],[BONUS 7]]</f>
        <v>0</v>
      </c>
      <c r="BE243">
        <v>1</v>
      </c>
      <c r="BI243" s="27">
        <f>SUM(Tabel2[[#This Row],[V 8]]*10+Tabel2[[#This Row],[GT 8]])/Tabel2[[#This Row],[AW 8]]*10+Tabel2[[#This Row],[BONUS 8]]</f>
        <v>0</v>
      </c>
      <c r="BK243">
        <v>1</v>
      </c>
      <c r="BO243" s="27">
        <f>SUM(Tabel2[[#This Row],[V 9]]*10+Tabel2[[#This Row],[GT 9]])/Tabel2[[#This Row],[AW 9]]*10+Tabel2[[#This Row],[BONUS 9]]</f>
        <v>0</v>
      </c>
      <c r="BQ243">
        <v>1</v>
      </c>
      <c r="BU243" s="23">
        <f>SUM(Tabel2[[#This Row],[V 10]]*10+Tabel2[[#This Row],[GT 10]])/Tabel2[[#This Row],[AW 10]]*10+Tabel2[[#This Row],[BONUS 10]]</f>
        <v>0</v>
      </c>
      <c r="BV2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30">
        <f>Tabel2[[#This Row],[Diploma]]-Tabel2[[#This Row],[Uitgeschreven]]</f>
        <v>0</v>
      </c>
      <c r="BY243" s="14" t="str">
        <f t="shared" si="31"/>
        <v>geen actie</v>
      </c>
      <c r="CB243" s="150">
        <f>Tabel2[[#This Row],[pnt 2022/2023]]</f>
        <v>0</v>
      </c>
      <c r="CC243" s="150">
        <f t="shared" si="32"/>
        <v>0</v>
      </c>
      <c r="CD243" s="150">
        <f>IF(Tabel2[[#This Row],[LPR 1]]&gt;0,1,0)</f>
        <v>0</v>
      </c>
      <c r="CE243" s="150">
        <f>IF(Tabel2[[#This Row],[LPR 2]]&gt;0,1,0)</f>
        <v>0</v>
      </c>
      <c r="CF243" s="150">
        <f>IF(Tabel2[[#This Row],[LPR 3]]&gt;0,1,0)</f>
        <v>0</v>
      </c>
      <c r="CG243" s="150">
        <f>IF(Tabel2[[#This Row],[LPR 4]]&gt;0,1,0)</f>
        <v>0</v>
      </c>
      <c r="CH243" s="150">
        <f>IF(Tabel2[[#This Row],[LPR 5]]&gt;0,1,0)</f>
        <v>0</v>
      </c>
      <c r="CI243" s="150">
        <f>IF(Tabel2[[#This Row],[LPR 6]]&gt;0,1,0)</f>
        <v>0</v>
      </c>
      <c r="CJ243" s="150">
        <f>IF(Tabel2[[#This Row],[LPR 7]]&gt;0,1,0)</f>
        <v>0</v>
      </c>
      <c r="CK243" s="150">
        <f>IF(Tabel2[[#This Row],[LPR 8]]&gt;0,1,0)</f>
        <v>0</v>
      </c>
      <c r="CL243" s="150">
        <f>IF(Tabel2[[#This Row],[LPR 9]]&gt;0,1,0)</f>
        <v>0</v>
      </c>
      <c r="CM243" s="150">
        <f>IF(Tabel2[[#This Row],[LPR 10]]&gt;0,1,0)</f>
        <v>0</v>
      </c>
      <c r="CN243" s="150">
        <f>SUM(Tabel7[[#This Row],[sep]:[jun]])</f>
        <v>0</v>
      </c>
      <c r="CO243" s="22" t="str">
        <f t="shared" si="25"/>
        <v/>
      </c>
      <c r="CP243" s="22" t="str">
        <f t="shared" si="26"/>
        <v/>
      </c>
      <c r="CQ243" s="22" t="str">
        <f t="shared" si="27"/>
        <v/>
      </c>
      <c r="CR243" s="22" t="str">
        <f t="shared" si="28"/>
        <v/>
      </c>
      <c r="CS243" s="22" t="str">
        <f t="shared" si="29"/>
        <v/>
      </c>
    </row>
    <row r="244" spans="1:97" x14ac:dyDescent="0.3">
      <c r="A244" s="22"/>
      <c r="B244" s="22" t="s">
        <v>157</v>
      </c>
      <c r="D244" s="22" t="s">
        <v>163</v>
      </c>
      <c r="H244" s="154">
        <f>Tabel2[[#This Row],[pnt t/m 2021/22]]+Tabel2[[#This Row],[pnt 2022/2023]]</f>
        <v>0</v>
      </c>
      <c r="J244">
        <v>2023</v>
      </c>
      <c r="K244" s="24">
        <f>Tabel2[[#This Row],[ijkdatum]]-Tabel2[[#This Row],[Geboren]]</f>
        <v>2023</v>
      </c>
      <c r="L244" s="26">
        <f>Tabel2[[#This Row],[TTL 1]]+Tabel2[[#This Row],[TTL 2]]+Tabel2[[#This Row],[TTL 3]]+Tabel2[[#This Row],[TTL 4]]+Tabel2[[#This Row],[TTL 5]]+Tabel2[[#This Row],[TTL 6]]+Tabel2[[#This Row],[TTL 7]]+Tabel2[[#This Row],[TTL 8]]+Tabel2[[#This Row],[TTL 9]]+Tabel2[[#This Row],[TTL 10]]</f>
        <v>0</v>
      </c>
      <c r="M244" s="151"/>
      <c r="N244" s="31"/>
      <c r="O244">
        <v>1</v>
      </c>
      <c r="S244" s="27">
        <f>SUM(Tabel2[[#This Row],[V 1]]*10+Tabel2[[#This Row],[GT 1]])/Tabel2[[#This Row],[AW 1]]*10+Tabel2[[#This Row],[BONUS 1]]</f>
        <v>0</v>
      </c>
      <c r="U244">
        <v>1</v>
      </c>
      <c r="Y244" s="27">
        <f>SUM(Tabel2[[#This Row],[V 2]]*10+Tabel2[[#This Row],[GT 2]])/Tabel2[[#This Row],[AW 2]]*10+Tabel2[[#This Row],[BONUS 2]]</f>
        <v>0</v>
      </c>
      <c r="AA244">
        <v>1</v>
      </c>
      <c r="AE244" s="27">
        <f>SUM(Tabel2[[#This Row],[V 3]]*10+Tabel2[[#This Row],[GT 3]])/Tabel2[[#This Row],[AW 3]]*10+Tabel2[[#This Row],[BONUS 3]]</f>
        <v>0</v>
      </c>
      <c r="AG244">
        <v>1</v>
      </c>
      <c r="AK244" s="27">
        <f>SUM(Tabel2[[#This Row],[V 4]]*10+Tabel2[[#This Row],[GT 4]])/Tabel2[[#This Row],[AW 4]]*10+Tabel2[[#This Row],[BONUS 4]]</f>
        <v>0</v>
      </c>
      <c r="AM244">
        <v>1</v>
      </c>
      <c r="AQ244" s="27">
        <f>SUM(Tabel2[[#This Row],[V 5]]*10+Tabel2[[#This Row],[GT 5]])/Tabel2[[#This Row],[AW 5]]*10+Tabel2[[#This Row],[BONUS 5]]</f>
        <v>0</v>
      </c>
      <c r="AS244">
        <v>1</v>
      </c>
      <c r="AW244" s="27">
        <f>SUM(Tabel2[[#This Row],[V 6]]*10+Tabel2[[#This Row],[GT 6]])/Tabel2[[#This Row],[AW 6]]*10+Tabel2[[#This Row],[BONUS 6]]</f>
        <v>0</v>
      </c>
      <c r="AY244">
        <v>1</v>
      </c>
      <c r="BC244" s="27">
        <f>SUM(Tabel2[[#This Row],[V 7]]*10+Tabel2[[#This Row],[GT 7]])/Tabel2[[#This Row],[AW 7]]*10+Tabel2[[#This Row],[BONUS 7]]</f>
        <v>0</v>
      </c>
      <c r="BE244">
        <v>1</v>
      </c>
      <c r="BI244" s="27">
        <f>SUM(Tabel2[[#This Row],[V 8]]*10+Tabel2[[#This Row],[GT 8]])/Tabel2[[#This Row],[AW 8]]*10+Tabel2[[#This Row],[BONUS 8]]</f>
        <v>0</v>
      </c>
      <c r="BK244">
        <v>1</v>
      </c>
      <c r="BO244" s="27">
        <f>SUM(Tabel2[[#This Row],[V 9]]*10+Tabel2[[#This Row],[GT 9]])/Tabel2[[#This Row],[AW 9]]*10+Tabel2[[#This Row],[BONUS 9]]</f>
        <v>0</v>
      </c>
      <c r="BQ244">
        <v>1</v>
      </c>
      <c r="BU244" s="23">
        <f>SUM(Tabel2[[#This Row],[V 10]]*10+Tabel2[[#This Row],[GT 10]])/Tabel2[[#This Row],[AW 10]]*10+Tabel2[[#This Row],[BONUS 10]]</f>
        <v>0</v>
      </c>
      <c r="BV2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30">
        <f>Tabel2[[#This Row],[Diploma]]-Tabel2[[#This Row],[Uitgeschreven]]</f>
        <v>0</v>
      </c>
      <c r="BY244" s="14" t="str">
        <f t="shared" si="31"/>
        <v>geen actie</v>
      </c>
      <c r="CB244" s="150">
        <f>Tabel2[[#This Row],[pnt 2022/2023]]</f>
        <v>0</v>
      </c>
      <c r="CC244" s="150">
        <f t="shared" si="32"/>
        <v>0</v>
      </c>
      <c r="CD244" s="150">
        <f>IF(Tabel2[[#This Row],[LPR 1]]&gt;0,1,0)</f>
        <v>0</v>
      </c>
      <c r="CE244" s="150">
        <f>IF(Tabel2[[#This Row],[LPR 2]]&gt;0,1,0)</f>
        <v>0</v>
      </c>
      <c r="CF244" s="150">
        <f>IF(Tabel2[[#This Row],[LPR 3]]&gt;0,1,0)</f>
        <v>0</v>
      </c>
      <c r="CG244" s="150">
        <f>IF(Tabel2[[#This Row],[LPR 4]]&gt;0,1,0)</f>
        <v>0</v>
      </c>
      <c r="CH244" s="150">
        <f>IF(Tabel2[[#This Row],[LPR 5]]&gt;0,1,0)</f>
        <v>0</v>
      </c>
      <c r="CI244" s="150">
        <f>IF(Tabel2[[#This Row],[LPR 6]]&gt;0,1,0)</f>
        <v>0</v>
      </c>
      <c r="CJ244" s="150">
        <f>IF(Tabel2[[#This Row],[LPR 7]]&gt;0,1,0)</f>
        <v>0</v>
      </c>
      <c r="CK244" s="150">
        <f>IF(Tabel2[[#This Row],[LPR 8]]&gt;0,1,0)</f>
        <v>0</v>
      </c>
      <c r="CL244" s="150">
        <f>IF(Tabel2[[#This Row],[LPR 9]]&gt;0,1,0)</f>
        <v>0</v>
      </c>
      <c r="CM244" s="150">
        <f>IF(Tabel2[[#This Row],[LPR 10]]&gt;0,1,0)</f>
        <v>0</v>
      </c>
      <c r="CN244" s="150">
        <f>SUM(Tabel7[[#This Row],[sep]:[jun]])</f>
        <v>0</v>
      </c>
      <c r="CO244" s="22" t="str">
        <f t="shared" si="25"/>
        <v/>
      </c>
      <c r="CP244" s="22" t="str">
        <f t="shared" si="26"/>
        <v/>
      </c>
      <c r="CQ244" s="22" t="str">
        <f t="shared" si="27"/>
        <v/>
      </c>
      <c r="CR244" s="22" t="str">
        <f t="shared" si="28"/>
        <v/>
      </c>
      <c r="CS244" s="22" t="str">
        <f t="shared" si="29"/>
        <v/>
      </c>
    </row>
    <row r="245" spans="1:97" x14ac:dyDescent="0.3">
      <c r="A245" s="22"/>
      <c r="B245" s="22" t="s">
        <v>157</v>
      </c>
      <c r="D245" s="22" t="s">
        <v>163</v>
      </c>
      <c r="H245" s="154">
        <f>Tabel2[[#This Row],[pnt t/m 2021/22]]+Tabel2[[#This Row],[pnt 2022/2023]]</f>
        <v>0</v>
      </c>
      <c r="J245">
        <v>2023</v>
      </c>
      <c r="K245" s="24">
        <f>Tabel2[[#This Row],[ijkdatum]]-Tabel2[[#This Row],[Geboren]]</f>
        <v>2023</v>
      </c>
      <c r="L245" s="26">
        <f>Tabel2[[#This Row],[TTL 1]]+Tabel2[[#This Row],[TTL 2]]+Tabel2[[#This Row],[TTL 3]]+Tabel2[[#This Row],[TTL 4]]+Tabel2[[#This Row],[TTL 5]]+Tabel2[[#This Row],[TTL 6]]+Tabel2[[#This Row],[TTL 7]]+Tabel2[[#This Row],[TTL 8]]+Tabel2[[#This Row],[TTL 9]]+Tabel2[[#This Row],[TTL 10]]</f>
        <v>0</v>
      </c>
      <c r="M245" s="151"/>
      <c r="N245" s="31"/>
      <c r="O245">
        <v>1</v>
      </c>
      <c r="S245" s="27">
        <f>SUM(Tabel2[[#This Row],[V 1]]*10+Tabel2[[#This Row],[GT 1]])/Tabel2[[#This Row],[AW 1]]*10+Tabel2[[#This Row],[BONUS 1]]</f>
        <v>0</v>
      </c>
      <c r="U245">
        <v>1</v>
      </c>
      <c r="Y245" s="27">
        <f>SUM(Tabel2[[#This Row],[V 2]]*10+Tabel2[[#This Row],[GT 2]])/Tabel2[[#This Row],[AW 2]]*10+Tabel2[[#This Row],[BONUS 2]]</f>
        <v>0</v>
      </c>
      <c r="AA245">
        <v>1</v>
      </c>
      <c r="AE245" s="27">
        <f>SUM(Tabel2[[#This Row],[V 3]]*10+Tabel2[[#This Row],[GT 3]])/Tabel2[[#This Row],[AW 3]]*10+Tabel2[[#This Row],[BONUS 3]]</f>
        <v>0</v>
      </c>
      <c r="AG245">
        <v>1</v>
      </c>
      <c r="AK245" s="27">
        <f>SUM(Tabel2[[#This Row],[V 4]]*10+Tabel2[[#This Row],[GT 4]])/Tabel2[[#This Row],[AW 4]]*10+Tabel2[[#This Row],[BONUS 4]]</f>
        <v>0</v>
      </c>
      <c r="AM245">
        <v>1</v>
      </c>
      <c r="AQ245" s="27">
        <f>SUM(Tabel2[[#This Row],[V 5]]*10+Tabel2[[#This Row],[GT 5]])/Tabel2[[#This Row],[AW 5]]*10+Tabel2[[#This Row],[BONUS 5]]</f>
        <v>0</v>
      </c>
      <c r="AS245">
        <v>1</v>
      </c>
      <c r="AW245" s="27">
        <f>SUM(Tabel2[[#This Row],[V 6]]*10+Tabel2[[#This Row],[GT 6]])/Tabel2[[#This Row],[AW 6]]*10+Tabel2[[#This Row],[BONUS 6]]</f>
        <v>0</v>
      </c>
      <c r="AY245">
        <v>1</v>
      </c>
      <c r="BC245" s="27">
        <f>SUM(Tabel2[[#This Row],[V 7]]*10+Tabel2[[#This Row],[GT 7]])/Tabel2[[#This Row],[AW 7]]*10+Tabel2[[#This Row],[BONUS 7]]</f>
        <v>0</v>
      </c>
      <c r="BE245">
        <v>1</v>
      </c>
      <c r="BI245" s="27">
        <f>SUM(Tabel2[[#This Row],[V 8]]*10+Tabel2[[#This Row],[GT 8]])/Tabel2[[#This Row],[AW 8]]*10+Tabel2[[#This Row],[BONUS 8]]</f>
        <v>0</v>
      </c>
      <c r="BK245">
        <v>1</v>
      </c>
      <c r="BO245" s="27">
        <f>SUM(Tabel2[[#This Row],[V 9]]*10+Tabel2[[#This Row],[GT 9]])/Tabel2[[#This Row],[AW 9]]*10+Tabel2[[#This Row],[BONUS 9]]</f>
        <v>0</v>
      </c>
      <c r="BQ245">
        <v>1</v>
      </c>
      <c r="BU245" s="23">
        <f>SUM(Tabel2[[#This Row],[V 10]]*10+Tabel2[[#This Row],[GT 10]])/Tabel2[[#This Row],[AW 10]]*10+Tabel2[[#This Row],[BONUS 10]]</f>
        <v>0</v>
      </c>
      <c r="BV2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30">
        <f>Tabel2[[#This Row],[Diploma]]-Tabel2[[#This Row],[Uitgeschreven]]</f>
        <v>0</v>
      </c>
      <c r="BY245" s="14" t="str">
        <f t="shared" si="31"/>
        <v>geen actie</v>
      </c>
      <c r="CB245" s="150">
        <f>Tabel2[[#This Row],[pnt 2022/2023]]</f>
        <v>0</v>
      </c>
      <c r="CC245" s="150">
        <f t="shared" si="32"/>
        <v>0</v>
      </c>
      <c r="CD245" s="150">
        <f>IF(Tabel2[[#This Row],[LPR 1]]&gt;0,1,0)</f>
        <v>0</v>
      </c>
      <c r="CE245" s="150">
        <f>IF(Tabel2[[#This Row],[LPR 2]]&gt;0,1,0)</f>
        <v>0</v>
      </c>
      <c r="CF245" s="150">
        <f>IF(Tabel2[[#This Row],[LPR 3]]&gt;0,1,0)</f>
        <v>0</v>
      </c>
      <c r="CG245" s="150">
        <f>IF(Tabel2[[#This Row],[LPR 4]]&gt;0,1,0)</f>
        <v>0</v>
      </c>
      <c r="CH245" s="150">
        <f>IF(Tabel2[[#This Row],[LPR 5]]&gt;0,1,0)</f>
        <v>0</v>
      </c>
      <c r="CI245" s="150">
        <f>IF(Tabel2[[#This Row],[LPR 6]]&gt;0,1,0)</f>
        <v>0</v>
      </c>
      <c r="CJ245" s="150">
        <f>IF(Tabel2[[#This Row],[LPR 7]]&gt;0,1,0)</f>
        <v>0</v>
      </c>
      <c r="CK245" s="150">
        <f>IF(Tabel2[[#This Row],[LPR 8]]&gt;0,1,0)</f>
        <v>0</v>
      </c>
      <c r="CL245" s="150">
        <f>IF(Tabel2[[#This Row],[LPR 9]]&gt;0,1,0)</f>
        <v>0</v>
      </c>
      <c r="CM245" s="150">
        <f>IF(Tabel2[[#This Row],[LPR 10]]&gt;0,1,0)</f>
        <v>0</v>
      </c>
      <c r="CN245" s="150">
        <f>SUM(Tabel7[[#This Row],[sep]:[jun]])</f>
        <v>0</v>
      </c>
      <c r="CO245" s="22" t="str">
        <f t="shared" si="25"/>
        <v/>
      </c>
      <c r="CP245" s="22" t="str">
        <f t="shared" si="26"/>
        <v/>
      </c>
      <c r="CQ245" s="22" t="str">
        <f t="shared" si="27"/>
        <v/>
      </c>
      <c r="CR245" s="22" t="str">
        <f t="shared" si="28"/>
        <v/>
      </c>
      <c r="CS245" s="22" t="str">
        <f t="shared" si="29"/>
        <v/>
      </c>
    </row>
    <row r="246" spans="1:97" x14ac:dyDescent="0.3">
      <c r="A246" s="22"/>
      <c r="B246" s="22" t="s">
        <v>157</v>
      </c>
      <c r="D246" s="22" t="s">
        <v>163</v>
      </c>
      <c r="H246" s="154">
        <f>Tabel2[[#This Row],[pnt t/m 2021/22]]+Tabel2[[#This Row],[pnt 2022/2023]]</f>
        <v>0</v>
      </c>
      <c r="J246">
        <v>2023</v>
      </c>
      <c r="K246" s="24">
        <f>Tabel2[[#This Row],[ijkdatum]]-Tabel2[[#This Row],[Geboren]]</f>
        <v>2023</v>
      </c>
      <c r="L246" s="26">
        <f>Tabel2[[#This Row],[TTL 1]]+Tabel2[[#This Row],[TTL 2]]+Tabel2[[#This Row],[TTL 3]]+Tabel2[[#This Row],[TTL 4]]+Tabel2[[#This Row],[TTL 5]]+Tabel2[[#This Row],[TTL 6]]+Tabel2[[#This Row],[TTL 7]]+Tabel2[[#This Row],[TTL 8]]+Tabel2[[#This Row],[TTL 9]]+Tabel2[[#This Row],[TTL 10]]</f>
        <v>0</v>
      </c>
      <c r="M246" s="151"/>
      <c r="N246" s="31"/>
      <c r="O246">
        <v>1</v>
      </c>
      <c r="S246" s="27">
        <f>SUM(Tabel2[[#This Row],[V 1]]*10+Tabel2[[#This Row],[GT 1]])/Tabel2[[#This Row],[AW 1]]*10+Tabel2[[#This Row],[BONUS 1]]</f>
        <v>0</v>
      </c>
      <c r="U246">
        <v>1</v>
      </c>
      <c r="Y246" s="27">
        <f>SUM(Tabel2[[#This Row],[V 2]]*10+Tabel2[[#This Row],[GT 2]])/Tabel2[[#This Row],[AW 2]]*10+Tabel2[[#This Row],[BONUS 2]]</f>
        <v>0</v>
      </c>
      <c r="AA246">
        <v>1</v>
      </c>
      <c r="AE246" s="27">
        <f>SUM(Tabel2[[#This Row],[V 3]]*10+Tabel2[[#This Row],[GT 3]])/Tabel2[[#This Row],[AW 3]]*10+Tabel2[[#This Row],[BONUS 3]]</f>
        <v>0</v>
      </c>
      <c r="AG246">
        <v>1</v>
      </c>
      <c r="AK246" s="27">
        <f>SUM(Tabel2[[#This Row],[V 4]]*10+Tabel2[[#This Row],[GT 4]])/Tabel2[[#This Row],[AW 4]]*10+Tabel2[[#This Row],[BONUS 4]]</f>
        <v>0</v>
      </c>
      <c r="AM246">
        <v>1</v>
      </c>
      <c r="AQ246" s="27">
        <f>SUM(Tabel2[[#This Row],[V 5]]*10+Tabel2[[#This Row],[GT 5]])/Tabel2[[#This Row],[AW 5]]*10+Tabel2[[#This Row],[BONUS 5]]</f>
        <v>0</v>
      </c>
      <c r="AS246">
        <v>1</v>
      </c>
      <c r="AW246" s="27">
        <f>SUM(Tabel2[[#This Row],[V 6]]*10+Tabel2[[#This Row],[GT 6]])/Tabel2[[#This Row],[AW 6]]*10+Tabel2[[#This Row],[BONUS 6]]</f>
        <v>0</v>
      </c>
      <c r="AY246">
        <v>1</v>
      </c>
      <c r="BC246" s="27">
        <f>SUM(Tabel2[[#This Row],[V 7]]*10+Tabel2[[#This Row],[GT 7]])/Tabel2[[#This Row],[AW 7]]*10+Tabel2[[#This Row],[BONUS 7]]</f>
        <v>0</v>
      </c>
      <c r="BE246">
        <v>1</v>
      </c>
      <c r="BI246" s="27">
        <f>SUM(Tabel2[[#This Row],[V 8]]*10+Tabel2[[#This Row],[GT 8]])/Tabel2[[#This Row],[AW 8]]*10+Tabel2[[#This Row],[BONUS 8]]</f>
        <v>0</v>
      </c>
      <c r="BK246">
        <v>1</v>
      </c>
      <c r="BO246" s="27">
        <f>SUM(Tabel2[[#This Row],[V 9]]*10+Tabel2[[#This Row],[GT 9]])/Tabel2[[#This Row],[AW 9]]*10+Tabel2[[#This Row],[BONUS 9]]</f>
        <v>0</v>
      </c>
      <c r="BQ246">
        <v>1</v>
      </c>
      <c r="BU246" s="23">
        <f>SUM(Tabel2[[#This Row],[V 10]]*10+Tabel2[[#This Row],[GT 10]])/Tabel2[[#This Row],[AW 10]]*10+Tabel2[[#This Row],[BONUS 10]]</f>
        <v>0</v>
      </c>
      <c r="BV2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30">
        <f>Tabel2[[#This Row],[Diploma]]-Tabel2[[#This Row],[Uitgeschreven]]</f>
        <v>0</v>
      </c>
      <c r="BY246" s="14" t="str">
        <f t="shared" si="31"/>
        <v>geen actie</v>
      </c>
      <c r="CB246" s="150">
        <f>Tabel2[[#This Row],[pnt 2022/2023]]</f>
        <v>0</v>
      </c>
      <c r="CC246" s="150">
        <f t="shared" si="32"/>
        <v>0</v>
      </c>
      <c r="CD246" s="150">
        <f>IF(Tabel2[[#This Row],[LPR 1]]&gt;0,1,0)</f>
        <v>0</v>
      </c>
      <c r="CE246" s="150">
        <f>IF(Tabel2[[#This Row],[LPR 2]]&gt;0,1,0)</f>
        <v>0</v>
      </c>
      <c r="CF246" s="150">
        <f>IF(Tabel2[[#This Row],[LPR 3]]&gt;0,1,0)</f>
        <v>0</v>
      </c>
      <c r="CG246" s="150">
        <f>IF(Tabel2[[#This Row],[LPR 4]]&gt;0,1,0)</f>
        <v>0</v>
      </c>
      <c r="CH246" s="150">
        <f>IF(Tabel2[[#This Row],[LPR 5]]&gt;0,1,0)</f>
        <v>0</v>
      </c>
      <c r="CI246" s="150">
        <f>IF(Tabel2[[#This Row],[LPR 6]]&gt;0,1,0)</f>
        <v>0</v>
      </c>
      <c r="CJ246" s="150">
        <f>IF(Tabel2[[#This Row],[LPR 7]]&gt;0,1,0)</f>
        <v>0</v>
      </c>
      <c r="CK246" s="150">
        <f>IF(Tabel2[[#This Row],[LPR 8]]&gt;0,1,0)</f>
        <v>0</v>
      </c>
      <c r="CL246" s="150">
        <f>IF(Tabel2[[#This Row],[LPR 9]]&gt;0,1,0)</f>
        <v>0</v>
      </c>
      <c r="CM246" s="150">
        <f>IF(Tabel2[[#This Row],[LPR 10]]&gt;0,1,0)</f>
        <v>0</v>
      </c>
      <c r="CN246" s="150">
        <f>SUM(Tabel7[[#This Row],[sep]:[jun]])</f>
        <v>0</v>
      </c>
      <c r="CO246" s="22" t="str">
        <f t="shared" si="25"/>
        <v/>
      </c>
      <c r="CP246" s="22" t="str">
        <f t="shared" si="26"/>
        <v/>
      </c>
      <c r="CQ246" s="22" t="str">
        <f t="shared" si="27"/>
        <v/>
      </c>
      <c r="CR246" s="22" t="str">
        <f t="shared" si="28"/>
        <v/>
      </c>
      <c r="CS246" s="22" t="str">
        <f t="shared" si="29"/>
        <v/>
      </c>
    </row>
    <row r="247" spans="1:97" x14ac:dyDescent="0.3">
      <c r="A247" s="22"/>
      <c r="B247" s="22" t="s">
        <v>157</v>
      </c>
      <c r="D247" s="22" t="s">
        <v>163</v>
      </c>
      <c r="H247" s="154">
        <f>Tabel2[[#This Row],[pnt t/m 2021/22]]+Tabel2[[#This Row],[pnt 2022/2023]]</f>
        <v>0</v>
      </c>
      <c r="J247">
        <v>2023</v>
      </c>
      <c r="K247" s="24">
        <f>Tabel2[[#This Row],[ijkdatum]]-Tabel2[[#This Row],[Geboren]]</f>
        <v>2023</v>
      </c>
      <c r="L247" s="26">
        <f>Tabel2[[#This Row],[TTL 1]]+Tabel2[[#This Row],[TTL 2]]+Tabel2[[#This Row],[TTL 3]]+Tabel2[[#This Row],[TTL 4]]+Tabel2[[#This Row],[TTL 5]]+Tabel2[[#This Row],[TTL 6]]+Tabel2[[#This Row],[TTL 7]]+Tabel2[[#This Row],[TTL 8]]+Tabel2[[#This Row],[TTL 9]]+Tabel2[[#This Row],[TTL 10]]</f>
        <v>0</v>
      </c>
      <c r="M247" s="151"/>
      <c r="N247" s="31"/>
      <c r="O247">
        <v>1</v>
      </c>
      <c r="S247" s="27">
        <f>SUM(Tabel2[[#This Row],[V 1]]*10+Tabel2[[#This Row],[GT 1]])/Tabel2[[#This Row],[AW 1]]*10+Tabel2[[#This Row],[BONUS 1]]</f>
        <v>0</v>
      </c>
      <c r="U247">
        <v>1</v>
      </c>
      <c r="Y247" s="27">
        <f>SUM(Tabel2[[#This Row],[V 2]]*10+Tabel2[[#This Row],[GT 2]])/Tabel2[[#This Row],[AW 2]]*10+Tabel2[[#This Row],[BONUS 2]]</f>
        <v>0</v>
      </c>
      <c r="AA247">
        <v>1</v>
      </c>
      <c r="AE247" s="27">
        <f>SUM(Tabel2[[#This Row],[V 3]]*10+Tabel2[[#This Row],[GT 3]])/Tabel2[[#This Row],[AW 3]]*10+Tabel2[[#This Row],[BONUS 3]]</f>
        <v>0</v>
      </c>
      <c r="AG247">
        <v>1</v>
      </c>
      <c r="AK247" s="27">
        <f>SUM(Tabel2[[#This Row],[V 4]]*10+Tabel2[[#This Row],[GT 4]])/Tabel2[[#This Row],[AW 4]]*10+Tabel2[[#This Row],[BONUS 4]]</f>
        <v>0</v>
      </c>
      <c r="AM247">
        <v>1</v>
      </c>
      <c r="AQ247" s="27">
        <f>SUM(Tabel2[[#This Row],[V 5]]*10+Tabel2[[#This Row],[GT 5]])/Tabel2[[#This Row],[AW 5]]*10+Tabel2[[#This Row],[BONUS 5]]</f>
        <v>0</v>
      </c>
      <c r="AS247">
        <v>1</v>
      </c>
      <c r="AW247" s="27">
        <f>SUM(Tabel2[[#This Row],[V 6]]*10+Tabel2[[#This Row],[GT 6]])/Tabel2[[#This Row],[AW 6]]*10+Tabel2[[#This Row],[BONUS 6]]</f>
        <v>0</v>
      </c>
      <c r="AY247">
        <v>1</v>
      </c>
      <c r="BC247" s="27">
        <f>SUM(Tabel2[[#This Row],[V 7]]*10+Tabel2[[#This Row],[GT 7]])/Tabel2[[#This Row],[AW 7]]*10+Tabel2[[#This Row],[BONUS 7]]</f>
        <v>0</v>
      </c>
      <c r="BE247">
        <v>1</v>
      </c>
      <c r="BI247" s="27">
        <f>SUM(Tabel2[[#This Row],[V 8]]*10+Tabel2[[#This Row],[GT 8]])/Tabel2[[#This Row],[AW 8]]*10+Tabel2[[#This Row],[BONUS 8]]</f>
        <v>0</v>
      </c>
      <c r="BK247">
        <v>1</v>
      </c>
      <c r="BO247" s="27">
        <f>SUM(Tabel2[[#This Row],[V 9]]*10+Tabel2[[#This Row],[GT 9]])/Tabel2[[#This Row],[AW 9]]*10+Tabel2[[#This Row],[BONUS 9]]</f>
        <v>0</v>
      </c>
      <c r="BQ247">
        <v>1</v>
      </c>
      <c r="BU247" s="23">
        <f>SUM(Tabel2[[#This Row],[V 10]]*10+Tabel2[[#This Row],[GT 10]])/Tabel2[[#This Row],[AW 10]]*10+Tabel2[[#This Row],[BONUS 10]]</f>
        <v>0</v>
      </c>
      <c r="BV2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30">
        <f>Tabel2[[#This Row],[Diploma]]-Tabel2[[#This Row],[Uitgeschreven]]</f>
        <v>0</v>
      </c>
      <c r="BY247" s="14" t="str">
        <f t="shared" si="31"/>
        <v>geen actie</v>
      </c>
      <c r="CB247" s="150">
        <f>Tabel2[[#This Row],[pnt 2022/2023]]</f>
        <v>0</v>
      </c>
      <c r="CC247" s="150">
        <f t="shared" si="32"/>
        <v>0</v>
      </c>
      <c r="CD247" s="150">
        <f>IF(Tabel2[[#This Row],[LPR 1]]&gt;0,1,0)</f>
        <v>0</v>
      </c>
      <c r="CE247" s="150">
        <f>IF(Tabel2[[#This Row],[LPR 2]]&gt;0,1,0)</f>
        <v>0</v>
      </c>
      <c r="CF247" s="150">
        <f>IF(Tabel2[[#This Row],[LPR 3]]&gt;0,1,0)</f>
        <v>0</v>
      </c>
      <c r="CG247" s="150">
        <f>IF(Tabel2[[#This Row],[LPR 4]]&gt;0,1,0)</f>
        <v>0</v>
      </c>
      <c r="CH247" s="150">
        <f>IF(Tabel2[[#This Row],[LPR 5]]&gt;0,1,0)</f>
        <v>0</v>
      </c>
      <c r="CI247" s="150">
        <f>IF(Tabel2[[#This Row],[LPR 6]]&gt;0,1,0)</f>
        <v>0</v>
      </c>
      <c r="CJ247" s="150">
        <f>IF(Tabel2[[#This Row],[LPR 7]]&gt;0,1,0)</f>
        <v>0</v>
      </c>
      <c r="CK247" s="150">
        <f>IF(Tabel2[[#This Row],[LPR 8]]&gt;0,1,0)</f>
        <v>0</v>
      </c>
      <c r="CL247" s="150">
        <f>IF(Tabel2[[#This Row],[LPR 9]]&gt;0,1,0)</f>
        <v>0</v>
      </c>
      <c r="CM247" s="150">
        <f>IF(Tabel2[[#This Row],[LPR 10]]&gt;0,1,0)</f>
        <v>0</v>
      </c>
      <c r="CN247" s="150">
        <f>SUM(Tabel7[[#This Row],[sep]:[jun]])</f>
        <v>0</v>
      </c>
      <c r="CO247" s="22" t="str">
        <f t="shared" si="25"/>
        <v/>
      </c>
      <c r="CP247" s="22" t="str">
        <f t="shared" si="26"/>
        <v/>
      </c>
      <c r="CQ247" s="22" t="str">
        <f t="shared" si="27"/>
        <v/>
      </c>
      <c r="CR247" s="22" t="str">
        <f t="shared" si="28"/>
        <v/>
      </c>
      <c r="CS247" s="22" t="str">
        <f t="shared" si="29"/>
        <v/>
      </c>
    </row>
    <row r="248" spans="1:97" x14ac:dyDescent="0.3">
      <c r="A248" s="22"/>
      <c r="B248" s="22" t="s">
        <v>157</v>
      </c>
      <c r="D248" s="22" t="s">
        <v>163</v>
      </c>
      <c r="H248" s="156">
        <f>Tabel2[[#This Row],[pnt t/m 2021/22]]+Tabel2[[#This Row],[pnt 2022/2023]]</f>
        <v>0</v>
      </c>
      <c r="J248">
        <v>2023</v>
      </c>
      <c r="K248" s="24">
        <f>Tabel2[[#This Row],[ijkdatum]]-Tabel2[[#This Row],[Geboren]]</f>
        <v>2023</v>
      </c>
      <c r="L248" s="26">
        <f>Tabel2[[#This Row],[TTL 1]]+Tabel2[[#This Row],[TTL 2]]+Tabel2[[#This Row],[TTL 3]]+Tabel2[[#This Row],[TTL 4]]+Tabel2[[#This Row],[TTL 5]]+Tabel2[[#This Row],[TTL 6]]+Tabel2[[#This Row],[TTL 7]]+Tabel2[[#This Row],[TTL 8]]+Tabel2[[#This Row],[TTL 9]]+Tabel2[[#This Row],[TTL 10]]</f>
        <v>0</v>
      </c>
      <c r="M248" s="148"/>
      <c r="N248" s="31"/>
      <c r="O248">
        <v>1</v>
      </c>
      <c r="S248" s="148">
        <f>SUM(Tabel2[[#This Row],[V 1]]*10+Tabel2[[#This Row],[GT 1]])/Tabel2[[#This Row],[AW 1]]*10+Tabel2[[#This Row],[BONUS 1]]</f>
        <v>0</v>
      </c>
      <c r="U248">
        <v>1</v>
      </c>
      <c r="Y248" s="148">
        <f>SUM(Tabel2[[#This Row],[V 2]]*10+Tabel2[[#This Row],[GT 2]])/Tabel2[[#This Row],[AW 2]]*10+Tabel2[[#This Row],[BONUS 2]]</f>
        <v>0</v>
      </c>
      <c r="AA248">
        <v>1</v>
      </c>
      <c r="AE248" s="148">
        <f>SUM(Tabel2[[#This Row],[V 3]]*10+Tabel2[[#This Row],[GT 3]])/Tabel2[[#This Row],[AW 3]]*10+Tabel2[[#This Row],[BONUS 3]]</f>
        <v>0</v>
      </c>
      <c r="AG248">
        <v>1</v>
      </c>
      <c r="AK248" s="148">
        <f>SUM(Tabel2[[#This Row],[V 4]]*10+Tabel2[[#This Row],[GT 4]])/Tabel2[[#This Row],[AW 4]]*10+Tabel2[[#This Row],[BONUS 4]]</f>
        <v>0</v>
      </c>
      <c r="AM248">
        <v>1</v>
      </c>
      <c r="AQ248" s="148">
        <f>SUM(Tabel2[[#This Row],[V 5]]*10+Tabel2[[#This Row],[GT 5]])/Tabel2[[#This Row],[AW 5]]*10+Tabel2[[#This Row],[BONUS 5]]</f>
        <v>0</v>
      </c>
      <c r="AS248">
        <v>1</v>
      </c>
      <c r="AW248" s="148">
        <f>SUM(Tabel2[[#This Row],[V 6]]*10+Tabel2[[#This Row],[GT 6]])/Tabel2[[#This Row],[AW 6]]*10+Tabel2[[#This Row],[BONUS 6]]</f>
        <v>0</v>
      </c>
      <c r="AY248">
        <v>1</v>
      </c>
      <c r="BC248" s="148">
        <f>SUM(Tabel2[[#This Row],[V 7]]*10+Tabel2[[#This Row],[GT 7]])/Tabel2[[#This Row],[AW 7]]*10+Tabel2[[#This Row],[BONUS 7]]</f>
        <v>0</v>
      </c>
      <c r="BE248">
        <v>1</v>
      </c>
      <c r="BI248" s="148">
        <f>SUM(Tabel2[[#This Row],[V 8]]*10+Tabel2[[#This Row],[GT 8]])/Tabel2[[#This Row],[AW 8]]*10+Tabel2[[#This Row],[BONUS 8]]</f>
        <v>0</v>
      </c>
      <c r="BK248">
        <v>1</v>
      </c>
      <c r="BO248" s="148">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31"/>
        <v>geen actie</v>
      </c>
      <c r="CB248" s="150">
        <f>Tabel2[[#This Row],[pnt 2022/2023]]</f>
        <v>0</v>
      </c>
      <c r="CC248" s="150">
        <f t="shared" si="32"/>
        <v>0</v>
      </c>
      <c r="CD248" s="150">
        <f>IF(Tabel2[[#This Row],[LPR 1]]&gt;0,1,0)</f>
        <v>0</v>
      </c>
      <c r="CE248" s="150">
        <f>IF(Tabel2[[#This Row],[LPR 2]]&gt;0,1,0)</f>
        <v>0</v>
      </c>
      <c r="CF248" s="150">
        <f>IF(Tabel2[[#This Row],[LPR 3]]&gt;0,1,0)</f>
        <v>0</v>
      </c>
      <c r="CG248" s="150">
        <f>IF(Tabel2[[#This Row],[LPR 4]]&gt;0,1,0)</f>
        <v>0</v>
      </c>
      <c r="CH248" s="150">
        <f>IF(Tabel2[[#This Row],[LPR 5]]&gt;0,1,0)</f>
        <v>0</v>
      </c>
      <c r="CI248" s="150">
        <f>IF(Tabel2[[#This Row],[LPR 6]]&gt;0,1,0)</f>
        <v>0</v>
      </c>
      <c r="CJ248" s="150">
        <f>IF(Tabel2[[#This Row],[LPR 7]]&gt;0,1,0)</f>
        <v>0</v>
      </c>
      <c r="CK248" s="150">
        <f>IF(Tabel2[[#This Row],[LPR 8]]&gt;0,1,0)</f>
        <v>0</v>
      </c>
      <c r="CL248" s="150">
        <f>IF(Tabel2[[#This Row],[LPR 9]]&gt;0,1,0)</f>
        <v>0</v>
      </c>
      <c r="CM248" s="150">
        <f>IF(Tabel2[[#This Row],[LPR 10]]&gt;0,1,0)</f>
        <v>0</v>
      </c>
      <c r="CN248" s="150">
        <f>SUM(Tabel7[[#This Row],[sep]:[jun]])</f>
        <v>0</v>
      </c>
      <c r="CO248" s="22" t="str">
        <f t="shared" si="25"/>
        <v/>
      </c>
      <c r="CP248" s="22" t="str">
        <f t="shared" si="26"/>
        <v/>
      </c>
      <c r="CQ248" s="22" t="str">
        <f t="shared" si="27"/>
        <v/>
      </c>
      <c r="CR248" s="22" t="str">
        <f t="shared" si="28"/>
        <v/>
      </c>
      <c r="CS248" s="22" t="str">
        <f t="shared" si="29"/>
        <v/>
      </c>
    </row>
    <row r="249" spans="1:97" x14ac:dyDescent="0.3">
      <c r="A249" s="22"/>
      <c r="B249" s="22" t="s">
        <v>157</v>
      </c>
      <c r="D249" s="22" t="s">
        <v>163</v>
      </c>
      <c r="H249" s="156">
        <f>Tabel2[[#This Row],[pnt t/m 2021/22]]+Tabel2[[#This Row],[pnt 2022/2023]]</f>
        <v>0</v>
      </c>
      <c r="J249">
        <v>2023</v>
      </c>
      <c r="K249" s="24">
        <f>Tabel2[[#This Row],[ijkdatum]]-Tabel2[[#This Row],[Geboren]]</f>
        <v>2023</v>
      </c>
      <c r="L249" s="26">
        <f>Tabel2[[#This Row],[TTL 1]]+Tabel2[[#This Row],[TTL 2]]+Tabel2[[#This Row],[TTL 3]]+Tabel2[[#This Row],[TTL 4]]+Tabel2[[#This Row],[TTL 5]]+Tabel2[[#This Row],[TTL 6]]+Tabel2[[#This Row],[TTL 7]]+Tabel2[[#This Row],[TTL 8]]+Tabel2[[#This Row],[TTL 9]]+Tabel2[[#This Row],[TTL 10]]</f>
        <v>0</v>
      </c>
      <c r="M249" s="148"/>
      <c r="N249" s="31"/>
      <c r="O249">
        <v>1</v>
      </c>
      <c r="S249" s="148">
        <f>SUM(Tabel2[[#This Row],[V 1]]*10+Tabel2[[#This Row],[GT 1]])/Tabel2[[#This Row],[AW 1]]*10+Tabel2[[#This Row],[BONUS 1]]</f>
        <v>0</v>
      </c>
      <c r="U249">
        <v>1</v>
      </c>
      <c r="Y249" s="148">
        <f>SUM(Tabel2[[#This Row],[V 2]]*10+Tabel2[[#This Row],[GT 2]])/Tabel2[[#This Row],[AW 2]]*10+Tabel2[[#This Row],[BONUS 2]]</f>
        <v>0</v>
      </c>
      <c r="AA249">
        <v>1</v>
      </c>
      <c r="AE249" s="148">
        <f>SUM(Tabel2[[#This Row],[V 3]]*10+Tabel2[[#This Row],[GT 3]])/Tabel2[[#This Row],[AW 3]]*10+Tabel2[[#This Row],[BONUS 3]]</f>
        <v>0</v>
      </c>
      <c r="AG249">
        <v>1</v>
      </c>
      <c r="AK249" s="148">
        <f>SUM(Tabel2[[#This Row],[V 4]]*10+Tabel2[[#This Row],[GT 4]])/Tabel2[[#This Row],[AW 4]]*10+Tabel2[[#This Row],[BONUS 4]]</f>
        <v>0</v>
      </c>
      <c r="AM249">
        <v>1</v>
      </c>
      <c r="AQ249" s="148">
        <f>SUM(Tabel2[[#This Row],[V 5]]*10+Tabel2[[#This Row],[GT 5]])/Tabel2[[#This Row],[AW 5]]*10+Tabel2[[#This Row],[BONUS 5]]</f>
        <v>0</v>
      </c>
      <c r="AS249">
        <v>1</v>
      </c>
      <c r="AW249" s="148">
        <f>SUM(Tabel2[[#This Row],[V 6]]*10+Tabel2[[#This Row],[GT 6]])/Tabel2[[#This Row],[AW 6]]*10+Tabel2[[#This Row],[BONUS 6]]</f>
        <v>0</v>
      </c>
      <c r="AY249">
        <v>1</v>
      </c>
      <c r="BC249" s="148">
        <f>SUM(Tabel2[[#This Row],[V 7]]*10+Tabel2[[#This Row],[GT 7]])/Tabel2[[#This Row],[AW 7]]*10+Tabel2[[#This Row],[BONUS 7]]</f>
        <v>0</v>
      </c>
      <c r="BE249">
        <v>1</v>
      </c>
      <c r="BI249" s="148">
        <f>SUM(Tabel2[[#This Row],[V 8]]*10+Tabel2[[#This Row],[GT 8]])/Tabel2[[#This Row],[AW 8]]*10+Tabel2[[#This Row],[BONUS 8]]</f>
        <v>0</v>
      </c>
      <c r="BK249">
        <v>1</v>
      </c>
      <c r="BO249" s="148">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31"/>
        <v>geen actie</v>
      </c>
      <c r="CB249" s="150">
        <f>Tabel2[[#This Row],[pnt 2022/2023]]</f>
        <v>0</v>
      </c>
      <c r="CC249" s="150">
        <f t="shared" si="32"/>
        <v>0</v>
      </c>
      <c r="CD249" s="150">
        <f>IF(Tabel2[[#This Row],[LPR 1]]&gt;0,1,0)</f>
        <v>0</v>
      </c>
      <c r="CE249" s="150">
        <f>IF(Tabel2[[#This Row],[LPR 2]]&gt;0,1,0)</f>
        <v>0</v>
      </c>
      <c r="CF249" s="150">
        <f>IF(Tabel2[[#This Row],[LPR 3]]&gt;0,1,0)</f>
        <v>0</v>
      </c>
      <c r="CG249" s="150">
        <f>IF(Tabel2[[#This Row],[LPR 4]]&gt;0,1,0)</f>
        <v>0</v>
      </c>
      <c r="CH249" s="150">
        <f>IF(Tabel2[[#This Row],[LPR 5]]&gt;0,1,0)</f>
        <v>0</v>
      </c>
      <c r="CI249" s="150">
        <f>IF(Tabel2[[#This Row],[LPR 6]]&gt;0,1,0)</f>
        <v>0</v>
      </c>
      <c r="CJ249" s="150">
        <f>IF(Tabel2[[#This Row],[LPR 7]]&gt;0,1,0)</f>
        <v>0</v>
      </c>
      <c r="CK249" s="150">
        <f>IF(Tabel2[[#This Row],[LPR 8]]&gt;0,1,0)</f>
        <v>0</v>
      </c>
      <c r="CL249" s="150">
        <f>IF(Tabel2[[#This Row],[LPR 9]]&gt;0,1,0)</f>
        <v>0</v>
      </c>
      <c r="CM249" s="150">
        <f>IF(Tabel2[[#This Row],[LPR 10]]&gt;0,1,0)</f>
        <v>0</v>
      </c>
      <c r="CN249" s="150">
        <f>SUM(Tabel7[[#This Row],[sep]:[jun]])</f>
        <v>0</v>
      </c>
      <c r="CO249" s="22" t="str">
        <f t="shared" si="25"/>
        <v/>
      </c>
      <c r="CP249" s="22" t="str">
        <f t="shared" si="26"/>
        <v/>
      </c>
      <c r="CQ249" s="22" t="str">
        <f t="shared" si="27"/>
        <v/>
      </c>
      <c r="CR249" s="22" t="str">
        <f t="shared" si="28"/>
        <v/>
      </c>
      <c r="CS249" s="22" t="str">
        <f t="shared" si="29"/>
        <v/>
      </c>
    </row>
    <row r="250" spans="1:97" x14ac:dyDescent="0.3">
      <c r="A250" s="22">
        <f>SUBTOTAL(103,Tabel2[wapen])</f>
        <v>195</v>
      </c>
      <c r="C250" s="22">
        <f>SUBTOTAL(109,Tabel2[aanwezigheid])</f>
        <v>0</v>
      </c>
      <c r="G250" s="25"/>
      <c r="K250" s="24"/>
      <c r="N250" s="31">
        <f>SUBTOTAL(103,Tabel2[LPR 1])</f>
        <v>44</v>
      </c>
      <c r="T250">
        <f>SUBTOTAL(103,Tabel2[LPR 2])</f>
        <v>33</v>
      </c>
      <c r="Z250">
        <f>SUBTOTAL(103,Tabel2[LPR 3])</f>
        <v>56</v>
      </c>
      <c r="AF250">
        <f>SUBTOTAL(103,Tabel2[LPR 4])</f>
        <v>0</v>
      </c>
      <c r="AL250">
        <f>SUBTOTAL(103,Tabel2[LPR 5])</f>
        <v>0</v>
      </c>
      <c r="AR250">
        <f>SUBTOTAL(103,Tabel2[LPR 6])</f>
        <v>0</v>
      </c>
      <c r="AW250" s="150"/>
      <c r="AX250">
        <f>SUBTOTAL(103,Tabel2[LPR 7])</f>
        <v>0</v>
      </c>
      <c r="BD250">
        <f>SUBTOTAL(103,Tabel2[LPR 8])</f>
        <v>0</v>
      </c>
      <c r="BJ250">
        <f>SUBTOTAL(103,Tabel2[LPR 9])</f>
        <v>0</v>
      </c>
      <c r="BP250">
        <f>SUBTOTAL(103,Tabel2[LPR 10])</f>
        <v>0</v>
      </c>
      <c r="BY250" s="22">
        <f>SUBTOTAL(103,Tabel2[Actie])</f>
        <v>245</v>
      </c>
      <c r="CA250" t="s">
        <v>31</v>
      </c>
      <c r="CB250">
        <f>COUNTIF(Tabel7[punten seizoen],"&gt;600")</f>
        <v>0</v>
      </c>
      <c r="CC250" s="163"/>
      <c r="CD250" s="163"/>
      <c r="CE250" s="163"/>
      <c r="CF250" s="163"/>
      <c r="CG250" s="163"/>
      <c r="CH250" s="163"/>
      <c r="CI250" s="163"/>
      <c r="CJ250" s="163"/>
      <c r="CK250" s="163"/>
      <c r="CL250" s="163"/>
      <c r="CM250" s="163"/>
      <c r="CN250" s="22">
        <f>COUNTIF(Tabel7[deelname],"&gt;6")</f>
        <v>0</v>
      </c>
      <c r="CO250" s="22">
        <f>COUNTIF(Tabel7[1000],"x")</f>
        <v>5</v>
      </c>
      <c r="CP250" s="22">
        <f>COUNTIF(Tabel7[1500],"x")</f>
        <v>2</v>
      </c>
      <c r="CQ250" s="22">
        <f>COUNTIF(Tabel7[2000],"x")</f>
        <v>1</v>
      </c>
      <c r="CR250" s="22">
        <f>COUNTIF(Tabel7[2500],"x")</f>
        <v>5</v>
      </c>
      <c r="CS250" s="22">
        <f>COUNTIF(Tabel7[3000],"x")</f>
        <v>3</v>
      </c>
    </row>
    <row r="252" spans="1:97" x14ac:dyDescent="0.3">
      <c r="B252" s="201"/>
      <c r="C252" s="202"/>
      <c r="D252" s="203"/>
    </row>
  </sheetData>
  <phoneticPr fontId="7" type="noConversion"/>
  <conditionalFormatting sqref="B5:B189 B191:B249">
    <cfRule type="cellIs" dxfId="41" priority="6" operator="equal">
      <formula>"nee"</formula>
    </cfRule>
  </conditionalFormatting>
  <conditionalFormatting sqref="D5:D249">
    <cfRule type="containsText" dxfId="40" priority="2" operator="containsText" text="achterstallig">
      <formula>NOT(ISERROR(SEARCH("achterstallig",D5)))</formula>
    </cfRule>
    <cfRule type="containsText" dxfId="39" priority="3" operator="containsText" text="deels">
      <formula>NOT(ISERROR(SEARCH("deels",D5)))</formula>
    </cfRule>
    <cfRule type="containsText" dxfId="38" priority="4" operator="containsText" text="abonnement">
      <formula>NOT(ISERROR(SEARCH("abonnement",D5)))</formula>
    </cfRule>
  </conditionalFormatting>
  <conditionalFormatting sqref="F5:F159 F164:F165">
    <cfRule type="cellIs" dxfId="37" priority="13" operator="lessThan">
      <formula>1</formula>
    </cfRule>
  </conditionalFormatting>
  <conditionalFormatting sqref="F161">
    <cfRule type="cellIs" dxfId="36" priority="11" operator="lessThan">
      <formula>1</formula>
    </cfRule>
  </conditionalFormatting>
  <conditionalFormatting sqref="F170:F249">
    <cfRule type="cellIs" dxfId="35" priority="5" operator="lessThan">
      <formula>1</formula>
    </cfRule>
  </conditionalFormatting>
  <conditionalFormatting sqref="I5:I190">
    <cfRule type="cellIs" dxfId="34" priority="19" operator="lessThan">
      <formula>1990</formula>
    </cfRule>
  </conditionalFormatting>
  <conditionalFormatting sqref="I138">
    <cfRule type="cellIs" dxfId="33" priority="21" operator="lessThan">
      <formula>2000</formula>
    </cfRule>
  </conditionalFormatting>
  <conditionalFormatting sqref="I149">
    <cfRule type="cellIs" dxfId="32" priority="20" operator="lessThan">
      <formula>2000</formula>
    </cfRule>
  </conditionalFormatting>
  <conditionalFormatting sqref="I160:I171">
    <cfRule type="cellIs" dxfId="31" priority="22" operator="lessThan">
      <formula>2000</formula>
    </cfRule>
  </conditionalFormatting>
  <conditionalFormatting sqref="I191:I193">
    <cfRule type="cellIs" dxfId="30" priority="1" stopIfTrue="1" operator="lessThan">
      <formula>2000</formula>
    </cfRule>
  </conditionalFormatting>
  <conditionalFormatting sqref="I194:I249">
    <cfRule type="cellIs" dxfId="29" priority="17" operator="lessThan">
      <formula>1990</formula>
    </cfRule>
  </conditionalFormatting>
  <conditionalFormatting sqref="K5:K249">
    <cfRule type="cellIs" dxfId="28" priority="28" operator="greaterThan">
      <formula>2000</formula>
    </cfRule>
  </conditionalFormatting>
  <conditionalFormatting sqref="BV5:BV249">
    <cfRule type="expression" dxfId="27" priority="26">
      <formula>NOT(ISERROR(SEARCH("diploma",BV5)))</formula>
    </cfRule>
    <cfRule type="expression" dxfId="26" priority="27">
      <formula>NOT(ISERROR(SEARCH("diploma",BV5)))</formula>
    </cfRule>
  </conditionalFormatting>
  <conditionalFormatting sqref="BY5:BY249">
    <cfRule type="containsText" dxfId="25" priority="24" operator="containsText" text="diploma">
      <formula>NOT(ISERROR(SEARCH("diploma",BY5)))</formula>
    </cfRule>
    <cfRule type="containsText" dxfId="24" priority="25" operator="containsText" text="geen actie">
      <formula>NOT(ISERROR(SEARCH("geen actie",BY5)))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784860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2">
    <tablePart r:id="rId8"/>
    <tablePart r:id="rId9"/>
  </tableParts>
  <extLst>
    <ext xmlns:x15="http://schemas.microsoft.com/office/spreadsheetml/2010/11/main" uri="{3A4CF648-6AED-40f4-86FF-DC5316D8AED3}">
      <x14:slicerList xmlns:x14="http://schemas.microsoft.com/office/spreadsheetml/2009/9/main">
        <x14:slicer r:id="rId10"/>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heetViews>
  <sheetFormatPr defaultColWidth="8.88671875" defaultRowHeight="13.2" x14ac:dyDescent="0.25"/>
  <cols>
    <col min="1" max="1" width="27.109375" style="33" customWidth="1"/>
    <col min="2" max="4" width="5" style="33" customWidth="1"/>
    <col min="5" max="14" width="4.33203125" style="33" customWidth="1"/>
    <col min="15" max="23" width="6.109375" style="33" customWidth="1"/>
    <col min="24" max="25" width="11" style="33" customWidth="1"/>
    <col min="26" max="27" width="10.44140625" style="33" bestFit="1" customWidth="1"/>
    <col min="28" max="28" width="13.109375" style="33" bestFit="1" customWidth="1"/>
    <col min="29" max="29" width="7.109375" style="33" bestFit="1" customWidth="1"/>
    <col min="30" max="30" width="4.109375" style="33" customWidth="1"/>
    <col min="31" max="31" width="9.33203125" style="33" bestFit="1" customWidth="1"/>
    <col min="32" max="32" width="10.6640625" style="33" bestFit="1" customWidth="1"/>
    <col min="33" max="33" width="10.88671875" style="33" bestFit="1" customWidth="1"/>
    <col min="34" max="34" width="12.33203125" style="33" customWidth="1"/>
    <col min="35" max="35" width="14.6640625" style="33" customWidth="1"/>
    <col min="36" max="36" width="4.33203125" style="33" customWidth="1"/>
    <col min="37" max="37" width="4" style="33" customWidth="1"/>
    <col min="38" max="39" width="3.88671875" style="33" customWidth="1"/>
    <col min="40" max="40" width="3.6640625" style="33" customWidth="1"/>
    <col min="41" max="41" width="3.88671875" style="33" customWidth="1"/>
    <col min="42" max="42" width="4.109375" style="33" customWidth="1"/>
    <col min="43" max="43" width="3.6640625" style="33" customWidth="1"/>
    <col min="44" max="44" width="4" style="33" customWidth="1"/>
    <col min="45" max="45" width="5.109375" style="33" customWidth="1"/>
    <col min="46" max="46" width="10.33203125" style="33" customWidth="1"/>
    <col min="47" max="47" width="9.33203125" style="33" customWidth="1"/>
    <col min="48" max="50" width="8.88671875" style="33"/>
    <col min="51" max="51" width="9.33203125" style="33" customWidth="1"/>
    <col min="52" max="16384" width="8.88671875" style="33"/>
  </cols>
  <sheetData>
    <row r="1" spans="1:51" ht="51" customHeight="1" x14ac:dyDescent="0.25">
      <c r="A1" s="34" t="s">
        <v>388</v>
      </c>
      <c r="E1" s="35"/>
      <c r="X1" s="134" t="s">
        <v>389</v>
      </c>
      <c r="Y1" s="134" t="s">
        <v>390</v>
      </c>
      <c r="Z1" s="134" t="s">
        <v>391</v>
      </c>
      <c r="AA1" s="134" t="s">
        <v>392</v>
      </c>
      <c r="AB1" s="134" t="s">
        <v>393</v>
      </c>
      <c r="AC1" s="134" t="s">
        <v>394</v>
      </c>
      <c r="AE1" s="33" t="s">
        <v>395</v>
      </c>
      <c r="AF1" s="33" t="s">
        <v>396</v>
      </c>
      <c r="AG1" s="33" t="s">
        <v>397</v>
      </c>
      <c r="AH1" s="33" t="s">
        <v>398</v>
      </c>
      <c r="AS1" s="54" t="s">
        <v>399</v>
      </c>
      <c r="AT1" s="54" t="s">
        <v>400</v>
      </c>
      <c r="AU1" s="54" t="s">
        <v>401</v>
      </c>
      <c r="AW1" s="54" t="s">
        <v>402</v>
      </c>
      <c r="AX1" s="54" t="s">
        <v>400</v>
      </c>
      <c r="AY1" s="54" t="s">
        <v>401</v>
      </c>
    </row>
    <row r="2" spans="1:51" ht="20.399999999999999" x14ac:dyDescent="0.35">
      <c r="A2" s="36" t="s">
        <v>403</v>
      </c>
      <c r="B2" s="36"/>
      <c r="T2" s="127"/>
      <c r="X2" s="208" t="s">
        <v>404</v>
      </c>
      <c r="Y2" s="133"/>
      <c r="Z2" s="37"/>
      <c r="AA2" s="37"/>
      <c r="AB2" s="37"/>
      <c r="AC2" s="37"/>
      <c r="AE2" s="33" t="str">
        <f>CONCATENATE("LOPER ",Tabel14[[#This Row],[Loper nr.]])</f>
        <v xml:space="preserve">LOPER </v>
      </c>
      <c r="AF2" s="33" t="str">
        <f>IF(Tabel14[[#This Row],[Poule E/M/G]]="e","elektrisch",IF(Tabel14[[#This Row],[Poule E/M/G]]="m","mechanisch","gemengd elek./mech."))</f>
        <v>gemengd elek./mech.</v>
      </c>
      <c r="AG2" s="33" t="str">
        <f>IF(Tabel14[[#This Row],[wapen G/K]]="k","klein wapen","groot wapen")</f>
        <v>groot wapen</v>
      </c>
      <c r="AH2" s="33" t="str">
        <f>IF(Tabel14[[#This Row],[wapen D/F/S]]="d","DEGEN",IF(Tabel14[[#This Row],[wapen D/F/S]]="F","FLORET","SABEL"))</f>
        <v>SABEL</v>
      </c>
      <c r="AS2" s="54" t="s">
        <v>405</v>
      </c>
      <c r="AT2" s="54" t="s">
        <v>406</v>
      </c>
      <c r="AU2" s="54" t="s">
        <v>407</v>
      </c>
      <c r="AW2" s="54">
        <v>4</v>
      </c>
      <c r="AX2" s="54" t="s">
        <v>408</v>
      </c>
      <c r="AY2" s="54" t="s">
        <v>409</v>
      </c>
    </row>
    <row r="3" spans="1:51" ht="18" x14ac:dyDescent="0.35">
      <c r="B3" s="135" t="s">
        <v>410</v>
      </c>
      <c r="X3" s="208" t="s">
        <v>411</v>
      </c>
      <c r="Y3" s="133"/>
      <c r="Z3" s="37"/>
      <c r="AA3" s="37"/>
      <c r="AB3" s="37"/>
      <c r="AC3" s="37"/>
      <c r="AE3" s="33" t="str">
        <f>CONCATENATE("LOPER ",Tabel14[[#This Row],[Loper nr.]])</f>
        <v xml:space="preserve">LOPER </v>
      </c>
      <c r="AF3" s="33" t="str">
        <f>IF(Tabel14[[#This Row],[Poule E/M/G]]="e","elektrisch",IF(Tabel14[[#This Row],[Poule E/M/G]]="m","mechanisch","gemengd elek./mech."))</f>
        <v>gemengd elek./mech.</v>
      </c>
      <c r="AG3" s="33" t="str">
        <f>IF(Tabel14[[#This Row],[wapen G/K]]="k","klein wapen","groot wapen")</f>
        <v>groot wapen</v>
      </c>
      <c r="AH3" s="33" t="str">
        <f>IF(Tabel14[[#This Row],[wapen D/F/S]]="d","DEGEN",IF(Tabel14[[#This Row],[wapen D/F/S]]="F","FLORET","SABEL"))</f>
        <v>SABEL</v>
      </c>
      <c r="AS3" s="54" t="s">
        <v>412</v>
      </c>
      <c r="AT3" s="54" t="s">
        <v>413</v>
      </c>
      <c r="AU3" s="54" t="s">
        <v>414</v>
      </c>
      <c r="AW3" s="54">
        <v>5</v>
      </c>
      <c r="AX3" s="54" t="s">
        <v>415</v>
      </c>
      <c r="AY3" s="54" t="s">
        <v>416</v>
      </c>
    </row>
    <row r="4" spans="1:51" ht="20.399999999999999" x14ac:dyDescent="0.35">
      <c r="A4" s="36"/>
      <c r="B4" s="38" t="s">
        <v>417</v>
      </c>
      <c r="X4" s="208" t="s">
        <v>418</v>
      </c>
      <c r="Y4" s="133"/>
      <c r="Z4" s="37"/>
      <c r="AA4" s="37"/>
      <c r="AB4" s="37"/>
      <c r="AC4" s="37"/>
      <c r="AE4" s="33" t="str">
        <f>CONCATENATE("LOPER ",Tabel14[[#This Row],[Loper nr.]])</f>
        <v xml:space="preserve">LOPER </v>
      </c>
      <c r="AF4" s="33" t="str">
        <f>IF(Tabel14[[#This Row],[Poule E/M/G]]="e","elektrisch",IF(Tabel14[[#This Row],[Poule E/M/G]]="m","mechanisch","gemengd elek./mech."))</f>
        <v>gemengd elek./mech.</v>
      </c>
      <c r="AG4" s="33" t="str">
        <f>IF(Tabel14[[#This Row],[wapen G/K]]="k","klein wapen","groot wapen")</f>
        <v>groot wapen</v>
      </c>
      <c r="AH4" s="33" t="str">
        <f>IF(Tabel14[[#This Row],[wapen D/F/S]]="d","DEGEN",IF(Tabel14[[#This Row],[wapen D/F/S]]="F","FLORET","SABEL"))</f>
        <v>SABEL</v>
      </c>
      <c r="AS4" s="54" t="s">
        <v>419</v>
      </c>
      <c r="AT4" s="54" t="s">
        <v>420</v>
      </c>
      <c r="AU4" s="54" t="s">
        <v>421</v>
      </c>
      <c r="AW4" s="54">
        <v>6</v>
      </c>
      <c r="AX4" s="54" t="s">
        <v>422</v>
      </c>
      <c r="AY4" s="54" t="s">
        <v>423</v>
      </c>
    </row>
    <row r="5" spans="1:51" ht="20.399999999999999" x14ac:dyDescent="0.35">
      <c r="A5" s="36"/>
      <c r="B5" s="38" t="s">
        <v>424</v>
      </c>
      <c r="X5" s="208" t="s">
        <v>425</v>
      </c>
      <c r="Y5" s="133"/>
      <c r="Z5" s="37"/>
      <c r="AA5" s="37"/>
      <c r="AB5" s="37"/>
      <c r="AC5" s="37"/>
      <c r="AE5" s="33" t="str">
        <f>CONCATENATE("LOPER ",Tabel14[[#This Row],[Loper nr.]])</f>
        <v xml:space="preserve">LOPER </v>
      </c>
      <c r="AF5" s="33" t="str">
        <f>IF(Tabel14[[#This Row],[Poule E/M/G]]="e","elektrisch",IF(Tabel14[[#This Row],[Poule E/M/G]]="m","mechanisch","gemengd elek./mech."))</f>
        <v>gemengd elek./mech.</v>
      </c>
      <c r="AG5" s="33" t="str">
        <f>IF(Tabel14[[#This Row],[wapen G/K]]="k","klein wapen","groot wapen")</f>
        <v>groot wapen</v>
      </c>
      <c r="AH5" s="33" t="str">
        <f>IF(Tabel14[[#This Row],[wapen D/F/S]]="d","DEGEN",IF(Tabel14[[#This Row],[wapen D/F/S]]="F","FLORET","SABEL"))</f>
        <v>SABEL</v>
      </c>
      <c r="AS5" s="54" t="s">
        <v>426</v>
      </c>
      <c r="AT5" s="54" t="s">
        <v>427</v>
      </c>
      <c r="AU5" s="54" t="s">
        <v>428</v>
      </c>
      <c r="AW5" s="54">
        <v>7</v>
      </c>
      <c r="AX5" s="54" t="s">
        <v>429</v>
      </c>
      <c r="AY5" s="54" t="s">
        <v>430</v>
      </c>
    </row>
    <row r="6" spans="1:51" ht="20.399999999999999" x14ac:dyDescent="0.35">
      <c r="A6" s="36"/>
      <c r="B6" s="38" t="s">
        <v>431</v>
      </c>
      <c r="X6" s="208" t="s">
        <v>432</v>
      </c>
      <c r="Y6" s="133"/>
      <c r="Z6" s="37"/>
      <c r="AA6" s="37"/>
      <c r="AB6" s="37"/>
      <c r="AC6" s="37"/>
      <c r="AE6" s="33" t="str">
        <f>CONCATENATE("LOPER ",Tabel14[[#This Row],[Loper nr.]])</f>
        <v xml:space="preserve">LOPER </v>
      </c>
      <c r="AF6" s="33" t="str">
        <f>IF(Tabel14[[#This Row],[Poule E/M/G]]="e","elektrisch",IF(Tabel14[[#This Row],[Poule E/M/G]]="m","mechanisch","gemengd elek./mech."))</f>
        <v>gemengd elek./mech.</v>
      </c>
      <c r="AG6" s="33" t="str">
        <f>IF(Tabel14[[#This Row],[wapen G/K]]="k","klein wapen","groot wapen")</f>
        <v>groot wapen</v>
      </c>
      <c r="AH6" s="33" t="str">
        <f>IF(Tabel14[[#This Row],[wapen D/F/S]]="d","DEGEN",IF(Tabel14[[#This Row],[wapen D/F/S]]="F","FLORET","SABEL"))</f>
        <v>SABEL</v>
      </c>
      <c r="AS6" s="54" t="s">
        <v>433</v>
      </c>
      <c r="AT6" s="54" t="s">
        <v>434</v>
      </c>
      <c r="AU6" s="54" t="s">
        <v>435</v>
      </c>
      <c r="AW6" s="54">
        <v>8</v>
      </c>
      <c r="AX6" s="54" t="s">
        <v>436</v>
      </c>
      <c r="AY6" s="54" t="s">
        <v>437</v>
      </c>
    </row>
    <row r="7" spans="1:51" ht="20.399999999999999" x14ac:dyDescent="0.35">
      <c r="B7" s="38" t="s">
        <v>438</v>
      </c>
      <c r="X7" s="208" t="s">
        <v>439</v>
      </c>
      <c r="Y7" s="133"/>
      <c r="Z7" s="37"/>
      <c r="AA7" s="37"/>
      <c r="AB7" s="37"/>
      <c r="AC7" s="37"/>
      <c r="AE7" s="33" t="str">
        <f>CONCATENATE("LOPER ",Tabel14[[#This Row],[Loper nr.]])</f>
        <v xml:space="preserve">LOPER </v>
      </c>
      <c r="AF7" s="33" t="str">
        <f>IF(Tabel14[[#This Row],[Poule E/M/G]]="e","elektrisch",IF(Tabel14[[#This Row],[Poule E/M/G]]="m","mechanisch","gemengd elek./mech."))</f>
        <v>gemengd elek./mech.</v>
      </c>
      <c r="AG7" s="33" t="str">
        <f>IF(Tabel14[[#This Row],[wapen G/K]]="k","klein wapen","groot wapen")</f>
        <v>groot wapen</v>
      </c>
      <c r="AH7" s="33" t="str">
        <f>IF(Tabel14[[#This Row],[wapen D/F/S]]="d","DEGEN",IF(Tabel14[[#This Row],[wapen D/F/S]]="F","FLORET","SABEL"))</f>
        <v>SABEL</v>
      </c>
      <c r="AS7" s="54" t="s">
        <v>440</v>
      </c>
      <c r="AT7" s="54" t="s">
        <v>441</v>
      </c>
      <c r="AU7" s="54" t="s">
        <v>442</v>
      </c>
      <c r="AW7" s="54">
        <v>9</v>
      </c>
      <c r="AX7" s="54" t="s">
        <v>443</v>
      </c>
      <c r="AY7" s="54" t="s">
        <v>444</v>
      </c>
    </row>
    <row r="8" spans="1:51" ht="20.399999999999999" x14ac:dyDescent="0.35">
      <c r="A8" s="38" t="s">
        <v>445</v>
      </c>
      <c r="B8" s="36"/>
      <c r="X8" s="208" t="s">
        <v>446</v>
      </c>
      <c r="Y8" s="133"/>
      <c r="Z8" s="37"/>
      <c r="AA8" s="37"/>
      <c r="AB8" s="37"/>
      <c r="AC8" s="37"/>
      <c r="AE8" s="33" t="str">
        <f>CONCATENATE("LOPER ",Tabel14[[#This Row],[Loper nr.]])</f>
        <v xml:space="preserve">LOPER </v>
      </c>
      <c r="AF8" s="33" t="str">
        <f>IF(Tabel14[[#This Row],[Poule E/M/G]]="e","elektrisch",IF(Tabel14[[#This Row],[Poule E/M/G]]="m","mechanisch","gemengd elek./mech."))</f>
        <v>gemengd elek./mech.</v>
      </c>
      <c r="AG8" s="33" t="str">
        <f>IF(Tabel14[[#This Row],[wapen G/K]]="k","klein wapen","groot wapen")</f>
        <v>groot wapen</v>
      </c>
      <c r="AH8" s="33" t="str">
        <f>IF(Tabel14[[#This Row],[wapen D/F/S]]="d","DEGEN",IF(Tabel14[[#This Row],[wapen D/F/S]]="F","FLORET","SABEL"))</f>
        <v>SABEL</v>
      </c>
      <c r="AS8" s="54" t="s">
        <v>447</v>
      </c>
      <c r="AT8" s="54" t="s">
        <v>448</v>
      </c>
      <c r="AU8" s="54" t="s">
        <v>449</v>
      </c>
      <c r="AW8" s="54">
        <v>10</v>
      </c>
      <c r="AX8" s="54" t="s">
        <v>450</v>
      </c>
      <c r="AY8" s="54" t="s">
        <v>451</v>
      </c>
    </row>
    <row r="9" spans="1:51" ht="20.399999999999999" x14ac:dyDescent="0.35">
      <c r="A9" s="36" t="s">
        <v>452</v>
      </c>
      <c r="B9" s="36"/>
      <c r="X9" s="208" t="s">
        <v>453</v>
      </c>
      <c r="Y9" s="133"/>
      <c r="Z9" s="37"/>
      <c r="AA9" s="37"/>
      <c r="AB9" s="37"/>
      <c r="AC9" s="37"/>
      <c r="AE9" s="33" t="str">
        <f>CONCATENATE("LOPER ",Tabel14[[#This Row],[Loper nr.]])</f>
        <v xml:space="preserve">LOPER </v>
      </c>
      <c r="AF9" s="33" t="str">
        <f>IF(Tabel14[[#This Row],[Poule E/M/G]]="e","elektrisch",IF(Tabel14[[#This Row],[Poule E/M/G]]="m","mechanisch","gemengd elek./mech."))</f>
        <v>gemengd elek./mech.</v>
      </c>
      <c r="AG9" s="33" t="str">
        <f>IF(Tabel14[[#This Row],[wapen G/K]]="k","klein wapen","groot wapen")</f>
        <v>groot wapen</v>
      </c>
      <c r="AH9" s="33" t="str">
        <f>IF(Tabel14[[#This Row],[wapen D/F/S]]="d","DEGEN",IF(Tabel14[[#This Row],[wapen D/F/S]]="F","FLORET","SABEL"))</f>
        <v>SABEL</v>
      </c>
      <c r="AS9" s="54" t="s">
        <v>454</v>
      </c>
      <c r="AT9" s="54" t="s">
        <v>455</v>
      </c>
      <c r="AU9" s="54" t="s">
        <v>456</v>
      </c>
      <c r="AW9" s="54">
        <v>11</v>
      </c>
      <c r="AX9" s="54" t="s">
        <v>457</v>
      </c>
      <c r="AY9" s="54" t="s">
        <v>458</v>
      </c>
    </row>
    <row r="10" spans="1:51" ht="20.399999999999999" x14ac:dyDescent="0.35">
      <c r="A10" s="36" t="s">
        <v>459</v>
      </c>
      <c r="B10" s="36"/>
      <c r="X10" s="208" t="s">
        <v>460</v>
      </c>
      <c r="Y10" s="133"/>
      <c r="Z10" s="37"/>
      <c r="AA10" s="37"/>
      <c r="AB10" s="37"/>
      <c r="AC10" s="37"/>
      <c r="AE10" s="33" t="str">
        <f>CONCATENATE("LOPER ",Tabel14[[#This Row],[Loper nr.]])</f>
        <v xml:space="preserve">LOPER </v>
      </c>
      <c r="AF10" s="33" t="str">
        <f>IF(Tabel14[[#This Row],[Poule E/M/G]]="e","elektrisch",IF(Tabel14[[#This Row],[Poule E/M/G]]="m","mechanisch","gemengd elek./mech."))</f>
        <v>gemengd elek./mech.</v>
      </c>
      <c r="AG10" s="33" t="str">
        <f>IF(Tabel14[[#This Row],[wapen G/K]]="k","klein wapen","groot wapen")</f>
        <v>groot wapen</v>
      </c>
      <c r="AH10" s="33" t="str">
        <f>IF(Tabel14[[#This Row],[wapen D/F/S]]="d","DEGEN",IF(Tabel14[[#This Row],[wapen D/F/S]]="F","FLORET","SABEL"))</f>
        <v>SABEL</v>
      </c>
      <c r="AS10" s="54" t="s">
        <v>461</v>
      </c>
      <c r="AT10" s="54" t="s">
        <v>462</v>
      </c>
      <c r="AU10" s="54" t="s">
        <v>463</v>
      </c>
      <c r="AW10" s="54">
        <v>12</v>
      </c>
      <c r="AX10" s="54" t="s">
        <v>464</v>
      </c>
      <c r="AY10" s="54" t="s">
        <v>465</v>
      </c>
    </row>
    <row r="11" spans="1:51" ht="20.399999999999999" x14ac:dyDescent="0.35">
      <c r="A11" s="36" t="s">
        <v>466</v>
      </c>
      <c r="B11" s="36"/>
      <c r="X11" s="208" t="s">
        <v>467</v>
      </c>
      <c r="Y11" s="133"/>
      <c r="Z11" s="37"/>
      <c r="AA11" s="37"/>
      <c r="AB11" s="37"/>
      <c r="AC11" s="37"/>
      <c r="AE11" s="33" t="str">
        <f>CONCATENATE("LOPER ",Tabel14[[#This Row],[Loper nr.]])</f>
        <v xml:space="preserve">LOPER </v>
      </c>
      <c r="AF11" s="33" t="str">
        <f>IF(Tabel14[[#This Row],[Poule E/M/G]]="e","elektrisch",IF(Tabel14[[#This Row],[Poule E/M/G]]="m","mechanisch","gemengd elek./mech."))</f>
        <v>gemengd elek./mech.</v>
      </c>
      <c r="AG11" s="33" t="str">
        <f>IF(Tabel14[[#This Row],[wapen G/K]]="k","klein wapen","groot wapen")</f>
        <v>groot wapen</v>
      </c>
      <c r="AH11" s="33" t="str">
        <f>IF(Tabel14[[#This Row],[wapen D/F/S]]="d","DEGEN",IF(Tabel14[[#This Row],[wapen D/F/S]]="F","FLORET","SABEL"))</f>
        <v>SABEL</v>
      </c>
      <c r="AS11" s="54" t="s">
        <v>468</v>
      </c>
      <c r="AT11" s="54" t="s">
        <v>469</v>
      </c>
      <c r="AU11" s="54" t="s">
        <v>470</v>
      </c>
    </row>
    <row r="12" spans="1:51" ht="20.399999999999999" x14ac:dyDescent="0.35">
      <c r="A12" s="36"/>
      <c r="B12" s="36"/>
      <c r="X12" s="208" t="s">
        <v>471</v>
      </c>
      <c r="Y12" s="133"/>
      <c r="Z12" s="37"/>
      <c r="AA12" s="37"/>
      <c r="AB12" s="37"/>
      <c r="AC12" s="37"/>
      <c r="AE12" s="33" t="str">
        <f>CONCATENATE("LOPER ",Tabel14[[#This Row],[Loper nr.]])</f>
        <v xml:space="preserve">LOPER </v>
      </c>
      <c r="AF12" s="33" t="str">
        <f>IF(Tabel14[[#This Row],[Poule E/M/G]]="e","elektrisch",IF(Tabel14[[#This Row],[Poule E/M/G]]="m","mechanisch","gemengd elek./mech."))</f>
        <v>gemengd elek./mech.</v>
      </c>
      <c r="AG12" s="33" t="str">
        <f>IF(Tabel14[[#This Row],[wapen G/K]]="k","klein wapen","groot wapen")</f>
        <v>groot wapen</v>
      </c>
      <c r="AH12" s="33" t="str">
        <f>IF(Tabel14[[#This Row],[wapen D/F/S]]="d","DEGEN",IF(Tabel14[[#This Row],[wapen D/F/S]]="F","FLORET","SABEL"))</f>
        <v>SABEL</v>
      </c>
      <c r="AS12" s="54" t="s">
        <v>472</v>
      </c>
      <c r="AT12" s="54" t="s">
        <v>473</v>
      </c>
      <c r="AU12" s="54" t="s">
        <v>474</v>
      </c>
    </row>
    <row r="13" spans="1:51" ht="20.399999999999999" x14ac:dyDescent="0.35">
      <c r="A13" s="36" t="s">
        <v>475</v>
      </c>
      <c r="B13" s="36"/>
      <c r="X13" s="208" t="s">
        <v>476</v>
      </c>
      <c r="Y13" s="133"/>
      <c r="Z13" s="37"/>
      <c r="AA13" s="37"/>
      <c r="AB13" s="37"/>
      <c r="AC13" s="37"/>
      <c r="AE13" s="33" t="str">
        <f>CONCATENATE("LOPER ",Tabel14[[#This Row],[Loper nr.]])</f>
        <v xml:space="preserve">LOPER </v>
      </c>
      <c r="AF13" s="33" t="str">
        <f>IF(Tabel14[[#This Row],[Poule E/M/G]]="e","elektrisch",IF(Tabel14[[#This Row],[Poule E/M/G]]="m","mechanisch","gemengd elek./mech."))</f>
        <v>gemengd elek./mech.</v>
      </c>
      <c r="AG13" s="33" t="str">
        <f>IF(Tabel14[[#This Row],[wapen G/K]]="k","klein wapen","groot wapen")</f>
        <v>groot wapen</v>
      </c>
      <c r="AH13" s="33" t="str">
        <f>IF(Tabel14[[#This Row],[wapen D/F/S]]="d","DEGEN",IF(Tabel14[[#This Row],[wapen D/F/S]]="F","FLORET","SABEL"))</f>
        <v>SABEL</v>
      </c>
      <c r="AS13" s="54" t="s">
        <v>477</v>
      </c>
      <c r="AT13" s="54" t="s">
        <v>478</v>
      </c>
      <c r="AU13" s="54" t="s">
        <v>479</v>
      </c>
    </row>
    <row r="14" spans="1:51" ht="20.399999999999999" x14ac:dyDescent="0.35">
      <c r="A14" s="36"/>
      <c r="B14" s="36"/>
      <c r="X14" s="208" t="s">
        <v>480</v>
      </c>
      <c r="Y14" s="133"/>
      <c r="Z14" s="37"/>
      <c r="AA14" s="37"/>
      <c r="AB14" s="37"/>
      <c r="AC14" s="37"/>
      <c r="AE14" s="33" t="str">
        <f>CONCATENATE("LOPER ",Tabel14[[#This Row],[Loper nr.]])</f>
        <v xml:space="preserve">LOPER </v>
      </c>
      <c r="AF14" s="33" t="str">
        <f>IF(Tabel14[[#This Row],[Poule E/M/G]]="e","elektrisch",IF(Tabel14[[#This Row],[Poule E/M/G]]="m","mechanisch","gemengd elek./mech."))</f>
        <v>gemengd elek./mech.</v>
      </c>
      <c r="AG14" s="33" t="str">
        <f>IF(Tabel14[[#This Row],[wapen G/K]]="k","klein wapen","groot wapen")</f>
        <v>groot wapen</v>
      </c>
      <c r="AH14" s="33" t="str">
        <f>IF(Tabel14[[#This Row],[wapen D/F/S]]="d","DEGEN",IF(Tabel14[[#This Row],[wapen D/F/S]]="F","FLORET","SABEL"))</f>
        <v>SABEL</v>
      </c>
      <c r="AS14" s="54" t="s">
        <v>481</v>
      </c>
      <c r="AT14" s="54" t="s">
        <v>482</v>
      </c>
      <c r="AU14" s="54" t="s">
        <v>483</v>
      </c>
    </row>
    <row r="15" spans="1:51" ht="20.399999999999999" x14ac:dyDescent="0.35">
      <c r="A15" s="36"/>
      <c r="B15" s="36"/>
      <c r="X15" s="208" t="s">
        <v>484</v>
      </c>
      <c r="Y15" s="133"/>
      <c r="Z15" s="37"/>
      <c r="AA15" s="37"/>
      <c r="AB15" s="37"/>
      <c r="AC15" s="37"/>
      <c r="AE15" s="33" t="str">
        <f>CONCATENATE("LOPER ",Tabel14[[#This Row],[Loper nr.]])</f>
        <v xml:space="preserve">LOPER </v>
      </c>
      <c r="AF15" s="33" t="str">
        <f>IF(Tabel14[[#This Row],[Poule E/M/G]]="e","elektrisch",IF(Tabel14[[#This Row],[Poule E/M/G]]="m","mechanisch","gemengd elek./mech."))</f>
        <v>gemengd elek./mech.</v>
      </c>
      <c r="AG15" s="33" t="str">
        <f>IF(Tabel14[[#This Row],[wapen G/K]]="k","klein wapen","groot wapen")</f>
        <v>groot wapen</v>
      </c>
      <c r="AH15" s="33" t="str">
        <f>IF(Tabel14[[#This Row],[wapen D/F/S]]="d","DEGEN",IF(Tabel14[[#This Row],[wapen D/F/S]]="F","FLORET","SABEL"))</f>
        <v>SABEL</v>
      </c>
      <c r="AS15" s="54" t="s">
        <v>485</v>
      </c>
      <c r="AT15" s="54" t="s">
        <v>486</v>
      </c>
      <c r="AU15" s="54" t="s">
        <v>487</v>
      </c>
    </row>
    <row r="16" spans="1:51" ht="24.6" customHeight="1" x14ac:dyDescent="0.55000000000000004">
      <c r="A16" s="39"/>
      <c r="B16" s="40"/>
      <c r="X16" s="208" t="s">
        <v>488</v>
      </c>
      <c r="Y16" s="133"/>
      <c r="Z16" s="37"/>
      <c r="AA16" s="37"/>
      <c r="AB16" s="37"/>
      <c r="AC16" s="37"/>
      <c r="AD16" s="41"/>
      <c r="AE16" s="33" t="str">
        <f>CONCATENATE("LOPER ",Tabel14[[#This Row],[Loper nr.]])</f>
        <v xml:space="preserve">LOPER </v>
      </c>
      <c r="AF16" s="33" t="str">
        <f>IF(Tabel14[[#This Row],[Poule E/M/G]]="e","elektrisch",IF(Tabel14[[#This Row],[Poule E/M/G]]="m","mechanisch","gemengd elek./mech."))</f>
        <v>gemengd elek./mech.</v>
      </c>
      <c r="AG16" s="33" t="str">
        <f>IF(Tabel14[[#This Row],[wapen G/K]]="k","klein wapen","groot wapen")</f>
        <v>groot wapen</v>
      </c>
      <c r="AH16" s="33" t="str">
        <f>IF(Tabel14[[#This Row],[wapen D/F/S]]="d","DEGEN",IF(Tabel14[[#This Row],[wapen D/F/S]]="F","FLORET","SABEL"))</f>
        <v>SABEL</v>
      </c>
      <c r="AS16" s="54" t="s">
        <v>489</v>
      </c>
      <c r="AT16" s="54" t="s">
        <v>490</v>
      </c>
      <c r="AU16" s="54" t="s">
        <v>491</v>
      </c>
    </row>
    <row r="17" spans="1:49" ht="24.6" customHeight="1" x14ac:dyDescent="0.55000000000000004">
      <c r="A17" s="39"/>
      <c r="B17" s="40"/>
      <c r="X17" s="208" t="s">
        <v>492</v>
      </c>
      <c r="Y17" s="133"/>
      <c r="Z17" s="37"/>
      <c r="AA17" s="37"/>
      <c r="AB17" s="37"/>
      <c r="AC17" s="37"/>
      <c r="AD17" s="41"/>
      <c r="AE17" s="33" t="str">
        <f>CONCATENATE("LOPER ",Tabel14[[#This Row],[Loper nr.]])</f>
        <v xml:space="preserve">LOPER </v>
      </c>
      <c r="AF17" s="33" t="str">
        <f>IF(Tabel14[[#This Row],[Poule E/M/G]]="e","elektrisch",IF(Tabel14[[#This Row],[Poule E/M/G]]="m","mechanisch","gemengd elek./mech."))</f>
        <v>gemengd elek./mech.</v>
      </c>
      <c r="AG17" s="33" t="str">
        <f>IF(Tabel14[[#This Row],[wapen G/K]]="k","klein wapen","groot wapen")</f>
        <v>groot wapen</v>
      </c>
      <c r="AH17" s="33" t="str">
        <f>IF(Tabel14[[#This Row],[wapen D/F/S]]="d","DEGEN",IF(Tabel14[[#This Row],[wapen D/F/S]]="F","FLORET","SABEL"))</f>
        <v>SABEL</v>
      </c>
      <c r="AS17" s="54" t="s">
        <v>399</v>
      </c>
      <c r="AT17" s="54" t="s">
        <v>493</v>
      </c>
      <c r="AU17" s="54" t="s">
        <v>494</v>
      </c>
    </row>
    <row r="18" spans="1:49" ht="24.6" customHeight="1" x14ac:dyDescent="0.55000000000000004">
      <c r="A18" s="39"/>
      <c r="B18" s="40"/>
      <c r="X18" s="208" t="s">
        <v>495</v>
      </c>
      <c r="Y18" s="133"/>
      <c r="Z18" s="37"/>
      <c r="AA18" s="37"/>
      <c r="AB18" s="37"/>
      <c r="AC18" s="37"/>
      <c r="AD18" s="41"/>
      <c r="AE18" s="33" t="str">
        <f>CONCATENATE("LOPER ",Tabel14[[#This Row],[Loper nr.]])</f>
        <v xml:space="preserve">LOPER </v>
      </c>
      <c r="AF18" s="33" t="str">
        <f>IF(Tabel14[[#This Row],[Poule E/M/G]]="e","elektrisch",IF(Tabel14[[#This Row],[Poule E/M/G]]="m","mechanisch","gemengd elek./mech."))</f>
        <v>gemengd elek./mech.</v>
      </c>
      <c r="AG18" s="33" t="str">
        <f>IF(Tabel14[[#This Row],[wapen G/K]]="k","klein wapen","groot wapen")</f>
        <v>groot wapen</v>
      </c>
      <c r="AH18" s="33" t="str">
        <f>IF(Tabel14[[#This Row],[wapen D/F/S]]="d","DEGEN",IF(Tabel14[[#This Row],[wapen D/F/S]]="F","FLORET","SABEL"))</f>
        <v>SABEL</v>
      </c>
      <c r="AS18" s="54" t="s">
        <v>496</v>
      </c>
      <c r="AT18" s="54" t="s">
        <v>497</v>
      </c>
      <c r="AU18" s="54" t="s">
        <v>498</v>
      </c>
    </row>
    <row r="19" spans="1:49" ht="24.6" customHeight="1" x14ac:dyDescent="0.55000000000000004">
      <c r="A19" s="39"/>
      <c r="B19" s="40"/>
      <c r="X19" s="208" t="s">
        <v>499</v>
      </c>
      <c r="Y19" s="133"/>
      <c r="Z19" s="37"/>
      <c r="AA19" s="37"/>
      <c r="AB19" s="37"/>
      <c r="AC19" s="37"/>
      <c r="AD19" s="41"/>
      <c r="AE19" s="33" t="str">
        <f>CONCATENATE("LOPER ",Tabel14[[#This Row],[Loper nr.]])</f>
        <v xml:space="preserve">LOPER </v>
      </c>
      <c r="AF19" s="33" t="str">
        <f>IF(Tabel14[[#This Row],[Poule E/M/G]]="e","elektrisch",IF(Tabel14[[#This Row],[Poule E/M/G]]="m","mechanisch","gemengd elek./mech."))</f>
        <v>gemengd elek./mech.</v>
      </c>
      <c r="AG19" s="33" t="str">
        <f>IF(Tabel14[[#This Row],[wapen G/K]]="k","klein wapen","groot wapen")</f>
        <v>groot wapen</v>
      </c>
      <c r="AH19" s="33" t="str">
        <f>IF(Tabel14[[#This Row],[wapen D/F/S]]="d","DEGEN",IF(Tabel14[[#This Row],[wapen D/F/S]]="F","FLORET","SABEL"))</f>
        <v>SABEL</v>
      </c>
      <c r="AS19" s="54" t="s">
        <v>500</v>
      </c>
      <c r="AT19" s="54" t="s">
        <v>501</v>
      </c>
      <c r="AU19" s="54" t="s">
        <v>502</v>
      </c>
    </row>
    <row r="20" spans="1:49" ht="24.6" customHeight="1" x14ac:dyDescent="0.55000000000000004">
      <c r="A20" s="39"/>
      <c r="B20" s="40"/>
      <c r="Z20" s="41"/>
      <c r="AA20" s="41"/>
      <c r="AB20" s="41"/>
      <c r="AC20" s="41"/>
      <c r="AD20" s="41"/>
      <c r="AE20" s="41"/>
      <c r="AF20" s="41"/>
      <c r="AG20" s="41"/>
    </row>
    <row r="21" spans="1:49" ht="13.8" thickBot="1" x14ac:dyDescent="0.3"/>
    <row r="22" spans="1:49" ht="100.2" customHeight="1" thickBot="1" x14ac:dyDescent="0.55000000000000004">
      <c r="A22" s="214" t="str">
        <f>CONCATENATE(AH2,"                ",AG2)</f>
        <v>SABEL                groot wapen</v>
      </c>
      <c r="B22" s="215"/>
      <c r="C22" s="216" t="str">
        <f>CONCATENATE(AE2,"                     ", AF2)</f>
        <v>LOPER                      gemengd elek./mech.</v>
      </c>
      <c r="D22" s="217"/>
      <c r="E22" s="218"/>
      <c r="F22" s="218"/>
      <c r="G22" s="218"/>
      <c r="H22" s="218"/>
      <c r="I22" s="218"/>
      <c r="J22" s="218"/>
      <c r="K22" s="219"/>
      <c r="L22" s="220">
        <f>AC2</f>
        <v>0</v>
      </c>
      <c r="M22" s="221"/>
      <c r="N22" s="42" t="s">
        <v>503</v>
      </c>
      <c r="O22" s="222" t="s">
        <v>504</v>
      </c>
      <c r="P22" s="223"/>
      <c r="Q22" s="222" t="s">
        <v>505</v>
      </c>
      <c r="R22" s="223"/>
      <c r="S22" s="222" t="s">
        <v>506</v>
      </c>
      <c r="T22" s="223"/>
      <c r="U22" s="226" t="s">
        <v>507</v>
      </c>
      <c r="V22" s="227"/>
      <c r="W22" s="128"/>
      <c r="X22" s="209" t="s">
        <v>405</v>
      </c>
      <c r="Y22" s="132"/>
      <c r="Z22" s="230"/>
      <c r="AA22" s="230"/>
      <c r="AB22" s="230"/>
      <c r="AC22" s="230"/>
      <c r="AD22" s="230"/>
      <c r="AE22" s="230"/>
      <c r="AF22" s="230"/>
      <c r="AG22" s="230"/>
      <c r="AH22" s="230"/>
      <c r="AI22" s="230"/>
      <c r="AJ22" s="230"/>
      <c r="AK22" s="230"/>
      <c r="AL22" s="230"/>
      <c r="AM22" s="230"/>
      <c r="AN22" s="230"/>
      <c r="AO22" s="230"/>
      <c r="AP22" s="230"/>
    </row>
    <row r="23" spans="1:49" ht="16.2" thickBot="1" x14ac:dyDescent="0.35">
      <c r="A23" s="43" t="s">
        <v>508</v>
      </c>
      <c r="B23" s="44"/>
      <c r="C23" s="45">
        <v>1</v>
      </c>
      <c r="D23" s="46">
        <v>2</v>
      </c>
      <c r="E23" s="46">
        <v>3</v>
      </c>
      <c r="F23" s="46">
        <v>4</v>
      </c>
      <c r="G23" s="46">
        <v>5</v>
      </c>
      <c r="H23" s="46">
        <v>6</v>
      </c>
      <c r="I23" s="46">
        <v>7</v>
      </c>
      <c r="J23" s="46">
        <v>8</v>
      </c>
      <c r="K23" s="46">
        <v>9</v>
      </c>
      <c r="L23" s="47">
        <v>10</v>
      </c>
      <c r="M23" s="47">
        <v>11</v>
      </c>
      <c r="N23" s="48">
        <v>12</v>
      </c>
      <c r="O23" s="49" t="s">
        <v>509</v>
      </c>
      <c r="P23" s="50" t="s">
        <v>510</v>
      </c>
      <c r="Q23" s="51" t="s">
        <v>509</v>
      </c>
      <c r="R23" s="48" t="s">
        <v>510</v>
      </c>
      <c r="S23" s="51" t="s">
        <v>509</v>
      </c>
      <c r="T23" s="52" t="s">
        <v>510</v>
      </c>
      <c r="U23" s="228"/>
      <c r="V23" s="229"/>
      <c r="W23" s="129"/>
      <c r="X23" s="129"/>
      <c r="Y23" s="129"/>
      <c r="Z23" s="53"/>
      <c r="AA23" s="54"/>
      <c r="AB23" s="54"/>
      <c r="AC23" s="54"/>
      <c r="AD23" s="54"/>
      <c r="AE23" s="54"/>
      <c r="AF23" s="54"/>
      <c r="AG23" s="54"/>
      <c r="AH23" s="54"/>
      <c r="AI23" s="54"/>
      <c r="AJ23" s="54"/>
      <c r="AK23" s="54"/>
      <c r="AL23" s="54"/>
      <c r="AM23" s="54"/>
      <c r="AN23" s="54"/>
      <c r="AO23" s="54"/>
      <c r="AP23" s="54"/>
    </row>
    <row r="24" spans="1:49" ht="16.2" thickBot="1" x14ac:dyDescent="0.35">
      <c r="A24" s="1"/>
      <c r="B24" s="55">
        <v>1</v>
      </c>
      <c r="C24" s="56"/>
      <c r="D24" s="57"/>
      <c r="E24" s="57"/>
      <c r="F24" s="57"/>
      <c r="G24" s="57"/>
      <c r="H24" s="57"/>
      <c r="I24" s="57"/>
      <c r="J24" s="58"/>
      <c r="K24" s="58"/>
      <c r="L24" s="58"/>
      <c r="M24" s="58"/>
      <c r="N24" s="59"/>
      <c r="O24" s="60"/>
      <c r="P24" s="61"/>
      <c r="Q24" s="60"/>
      <c r="R24" s="61"/>
      <c r="S24" s="60"/>
      <c r="T24" s="62"/>
      <c r="U24" s="224"/>
      <c r="V24" s="225"/>
      <c r="Z24" s="53"/>
      <c r="AA24" s="54"/>
      <c r="AB24" s="54"/>
      <c r="AC24" s="54"/>
      <c r="AD24" s="54"/>
      <c r="AE24" s="54"/>
      <c r="AF24" s="54"/>
      <c r="AG24" s="54"/>
      <c r="AH24" s="63" t="s">
        <v>511</v>
      </c>
      <c r="AI24" s="63"/>
      <c r="AJ24" s="64"/>
      <c r="AK24" s="63"/>
      <c r="AL24" s="63"/>
      <c r="AM24" s="63"/>
      <c r="AN24" s="65"/>
      <c r="AO24" s="65"/>
      <c r="AP24" s="65"/>
      <c r="AW24" s="33">
        <v>1</v>
      </c>
    </row>
    <row r="25" spans="1:49" ht="16.2" thickBot="1" x14ac:dyDescent="0.35">
      <c r="A25" s="1"/>
      <c r="B25" s="66">
        <v>2</v>
      </c>
      <c r="C25" s="67"/>
      <c r="D25" s="68"/>
      <c r="E25" s="69"/>
      <c r="F25" s="69"/>
      <c r="G25" s="69"/>
      <c r="H25" s="69"/>
      <c r="I25" s="69"/>
      <c r="J25" s="70"/>
      <c r="K25" s="70"/>
      <c r="L25" s="70"/>
      <c r="M25" s="70"/>
      <c r="N25" s="59"/>
      <c r="O25" s="60"/>
      <c r="P25" s="61"/>
      <c r="Q25" s="60"/>
      <c r="R25" s="61"/>
      <c r="S25" s="60"/>
      <c r="T25" s="62"/>
      <c r="U25" s="224"/>
      <c r="V25" s="225"/>
      <c r="Z25" s="71" t="s">
        <v>512</v>
      </c>
      <c r="AA25" s="72" t="s">
        <v>513</v>
      </c>
      <c r="AB25" s="73" t="s">
        <v>514</v>
      </c>
      <c r="AC25" s="73" t="s">
        <v>515</v>
      </c>
      <c r="AD25" s="73" t="s">
        <v>516</v>
      </c>
      <c r="AE25" s="73" t="s">
        <v>517</v>
      </c>
      <c r="AF25" s="74" t="s">
        <v>518</v>
      </c>
      <c r="AG25" s="75"/>
      <c r="AH25" s="75"/>
      <c r="AI25" s="75"/>
      <c r="AJ25" s="75"/>
      <c r="AK25" s="75"/>
      <c r="AL25" s="75"/>
      <c r="AM25" s="75"/>
      <c r="AN25" s="76"/>
      <c r="AO25" s="77"/>
      <c r="AP25" s="65"/>
      <c r="AW25" s="33">
        <v>2</v>
      </c>
    </row>
    <row r="26" spans="1:49" ht="16.2" thickBot="1" x14ac:dyDescent="0.35">
      <c r="A26" s="28"/>
      <c r="B26" s="55">
        <v>3</v>
      </c>
      <c r="C26" s="67"/>
      <c r="D26" s="69"/>
      <c r="E26" s="68"/>
      <c r="F26" s="69"/>
      <c r="G26" s="69"/>
      <c r="H26" s="69"/>
      <c r="I26" s="69"/>
      <c r="J26" s="70"/>
      <c r="K26" s="70"/>
      <c r="L26" s="70"/>
      <c r="M26" s="70"/>
      <c r="N26" s="59"/>
      <c r="O26" s="60"/>
      <c r="P26" s="61"/>
      <c r="Q26" s="60"/>
      <c r="R26" s="61"/>
      <c r="S26" s="60"/>
      <c r="T26" s="62"/>
      <c r="U26" s="224"/>
      <c r="V26" s="225"/>
      <c r="Z26" s="78" t="s">
        <v>519</v>
      </c>
      <c r="AA26" s="79"/>
      <c r="AB26" s="75"/>
      <c r="AC26" s="75"/>
      <c r="AD26" s="75"/>
      <c r="AE26" s="75"/>
      <c r="AF26" s="75"/>
      <c r="AG26" s="75"/>
      <c r="AH26" s="75"/>
      <c r="AI26" s="75"/>
      <c r="AJ26" s="75"/>
      <c r="AK26" s="75"/>
      <c r="AL26" s="75"/>
      <c r="AM26" s="75"/>
      <c r="AN26" s="76"/>
      <c r="AO26" s="77"/>
      <c r="AP26" s="65"/>
      <c r="AW26" s="33">
        <v>3</v>
      </c>
    </row>
    <row r="27" spans="1:49" ht="15.6" x14ac:dyDescent="0.3">
      <c r="A27" s="1"/>
      <c r="B27" s="66">
        <v>4</v>
      </c>
      <c r="C27" s="67"/>
      <c r="D27" s="69"/>
      <c r="E27" s="69"/>
      <c r="F27" s="68"/>
      <c r="G27" s="69"/>
      <c r="H27" s="69"/>
      <c r="I27" s="69"/>
      <c r="J27" s="70"/>
      <c r="K27" s="70"/>
      <c r="L27" s="70"/>
      <c r="M27" s="70"/>
      <c r="N27" s="59"/>
      <c r="O27" s="60"/>
      <c r="P27" s="61"/>
      <c r="Q27" s="60"/>
      <c r="R27" s="61"/>
      <c r="S27" s="60"/>
      <c r="T27" s="62"/>
      <c r="U27" s="224"/>
      <c r="V27" s="225"/>
      <c r="Z27" s="80" t="s">
        <v>520</v>
      </c>
      <c r="AA27" s="81" t="s">
        <v>518</v>
      </c>
      <c r="AB27" s="81" t="s">
        <v>517</v>
      </c>
      <c r="AC27" s="81" t="s">
        <v>521</v>
      </c>
      <c r="AD27" s="81" t="s">
        <v>514</v>
      </c>
      <c r="AE27" s="81" t="s">
        <v>522</v>
      </c>
      <c r="AF27" s="81" t="s">
        <v>515</v>
      </c>
      <c r="AG27" s="81" t="s">
        <v>523</v>
      </c>
      <c r="AH27" s="81" t="s">
        <v>524</v>
      </c>
      <c r="AI27" s="81" t="s">
        <v>525</v>
      </c>
      <c r="AJ27" s="81" t="s">
        <v>526</v>
      </c>
      <c r="AK27" s="82"/>
      <c r="AL27" s="76"/>
      <c r="AM27" s="76"/>
      <c r="AN27" s="76"/>
      <c r="AO27" s="77"/>
      <c r="AP27" s="65"/>
      <c r="AW27" s="33">
        <v>4</v>
      </c>
    </row>
    <row r="28" spans="1:49" ht="15.6" x14ac:dyDescent="0.3">
      <c r="A28" s="1"/>
      <c r="B28" s="55">
        <v>5</v>
      </c>
      <c r="C28" s="67"/>
      <c r="D28" s="69"/>
      <c r="E28" s="69"/>
      <c r="F28" s="69"/>
      <c r="G28" s="68"/>
      <c r="H28" s="69"/>
      <c r="I28" s="69"/>
      <c r="J28" s="70"/>
      <c r="K28" s="70"/>
      <c r="L28" s="70"/>
      <c r="M28" s="70"/>
      <c r="N28" s="59"/>
      <c r="O28" s="60"/>
      <c r="P28" s="61"/>
      <c r="Q28" s="60"/>
      <c r="R28" s="61"/>
      <c r="S28" s="60"/>
      <c r="T28" s="62"/>
      <c r="U28" s="224"/>
      <c r="V28" s="225"/>
      <c r="Z28" s="76" t="s">
        <v>527</v>
      </c>
      <c r="AA28" s="76"/>
      <c r="AB28" s="75"/>
      <c r="AC28" s="75"/>
      <c r="AD28" s="75"/>
      <c r="AE28" s="75"/>
      <c r="AF28" s="75"/>
      <c r="AG28" s="75"/>
      <c r="AH28" s="75"/>
      <c r="AI28" s="75"/>
      <c r="AJ28" s="75"/>
      <c r="AK28" s="75"/>
      <c r="AL28" s="76"/>
      <c r="AM28" s="76"/>
      <c r="AN28" s="76"/>
      <c r="AO28" s="77"/>
      <c r="AP28" s="65"/>
    </row>
    <row r="29" spans="1:49" ht="15.6" x14ac:dyDescent="0.3">
      <c r="A29" s="1"/>
      <c r="B29" s="66">
        <v>6</v>
      </c>
      <c r="C29" s="67"/>
      <c r="D29" s="69"/>
      <c r="E29" s="69"/>
      <c r="F29" s="69"/>
      <c r="G29" s="69"/>
      <c r="H29" s="68"/>
      <c r="I29" s="69"/>
      <c r="J29" s="70"/>
      <c r="K29" s="70"/>
      <c r="L29" s="70"/>
      <c r="M29" s="70"/>
      <c r="N29" s="59"/>
      <c r="O29" s="60"/>
      <c r="P29" s="61"/>
      <c r="Q29" s="60"/>
      <c r="R29" s="61"/>
      <c r="S29" s="60"/>
      <c r="T29" s="62"/>
      <c r="U29" s="224"/>
      <c r="V29" s="225"/>
      <c r="Z29" s="79"/>
      <c r="AA29" s="79"/>
      <c r="AB29" s="75"/>
      <c r="AC29" s="75"/>
      <c r="AD29" s="75"/>
      <c r="AE29" s="75"/>
      <c r="AF29" s="75"/>
      <c r="AG29" s="75"/>
      <c r="AH29" s="75"/>
      <c r="AI29" s="75"/>
      <c r="AJ29" s="75"/>
      <c r="AK29" s="75"/>
      <c r="AL29" s="76"/>
      <c r="AM29" s="76"/>
      <c r="AN29" s="76"/>
      <c r="AO29" s="77"/>
      <c r="AP29" s="65"/>
    </row>
    <row r="30" spans="1:49" ht="15.6" x14ac:dyDescent="0.3">
      <c r="A30" s="1"/>
      <c r="B30" s="55">
        <v>7</v>
      </c>
      <c r="C30" s="67"/>
      <c r="D30" s="69"/>
      <c r="E30" s="69"/>
      <c r="F30" s="69"/>
      <c r="G30" s="69"/>
      <c r="H30" s="69"/>
      <c r="I30" s="68"/>
      <c r="J30" s="83"/>
      <c r="K30" s="83"/>
      <c r="L30" s="83"/>
      <c r="M30" s="83"/>
      <c r="N30" s="84"/>
      <c r="O30" s="60"/>
      <c r="P30" s="61"/>
      <c r="Q30" s="60"/>
      <c r="R30" s="61"/>
      <c r="S30" s="60"/>
      <c r="T30" s="62"/>
      <c r="U30" s="224"/>
      <c r="V30" s="225"/>
      <c r="Z30" s="85" t="s">
        <v>519</v>
      </c>
      <c r="AA30" s="86" t="s">
        <v>528</v>
      </c>
      <c r="AB30" s="86" t="s">
        <v>523</v>
      </c>
      <c r="AC30" s="86" t="s">
        <v>517</v>
      </c>
      <c r="AD30" s="86" t="s">
        <v>529</v>
      </c>
      <c r="AE30" s="86" t="s">
        <v>530</v>
      </c>
      <c r="AF30" s="86" t="s">
        <v>514</v>
      </c>
      <c r="AG30" s="86" t="s">
        <v>513</v>
      </c>
      <c r="AH30" s="86" t="s">
        <v>531</v>
      </c>
      <c r="AI30" s="86" t="s">
        <v>532</v>
      </c>
      <c r="AJ30" s="86" t="s">
        <v>515</v>
      </c>
      <c r="AK30" s="86" t="s">
        <v>526</v>
      </c>
      <c r="AL30" s="86" t="s">
        <v>533</v>
      </c>
      <c r="AM30" s="86" t="s">
        <v>518</v>
      </c>
      <c r="AN30" s="86" t="s">
        <v>534</v>
      </c>
      <c r="AO30" s="86" t="s">
        <v>535</v>
      </c>
    </row>
    <row r="31" spans="1:49" ht="15.6" x14ac:dyDescent="0.3">
      <c r="A31" s="1"/>
      <c r="B31" s="66">
        <v>8</v>
      </c>
      <c r="C31" s="87"/>
      <c r="D31" s="88"/>
      <c r="E31" s="88"/>
      <c r="F31" s="88"/>
      <c r="G31" s="88"/>
      <c r="H31" s="88"/>
      <c r="I31" s="89"/>
      <c r="J31" s="90"/>
      <c r="K31" s="91"/>
      <c r="L31" s="91"/>
      <c r="M31" s="91"/>
      <c r="N31" s="84"/>
      <c r="O31" s="60"/>
      <c r="P31" s="61"/>
      <c r="Q31" s="60"/>
      <c r="R31" s="61"/>
      <c r="S31" s="60"/>
      <c r="T31" s="62"/>
      <c r="U31" s="224"/>
      <c r="V31" s="225"/>
      <c r="Z31" s="76" t="s">
        <v>536</v>
      </c>
      <c r="AH31" s="76"/>
      <c r="AI31" s="76"/>
      <c r="AJ31" s="76"/>
      <c r="AK31" s="76"/>
      <c r="AL31" s="76"/>
      <c r="AM31" s="75"/>
      <c r="AN31" s="75"/>
      <c r="AO31" s="92"/>
      <c r="AP31" s="63"/>
    </row>
    <row r="32" spans="1:49" ht="16.2" thickBot="1" x14ac:dyDescent="0.35">
      <c r="A32" s="93"/>
      <c r="B32" s="55">
        <v>9</v>
      </c>
      <c r="C32" s="87"/>
      <c r="D32" s="88"/>
      <c r="E32" s="88"/>
      <c r="F32" s="88"/>
      <c r="G32" s="88"/>
      <c r="H32" s="88"/>
      <c r="I32" s="89"/>
      <c r="J32" s="91"/>
      <c r="K32" s="90"/>
      <c r="L32" s="91"/>
      <c r="M32" s="91"/>
      <c r="N32" s="84"/>
      <c r="O32" s="60"/>
      <c r="P32" s="61"/>
      <c r="Q32" s="60"/>
      <c r="R32" s="61"/>
      <c r="S32" s="60"/>
      <c r="T32" s="62"/>
      <c r="U32" s="224"/>
      <c r="V32" s="225"/>
      <c r="Z32" s="79"/>
      <c r="AA32" s="79"/>
      <c r="AB32" s="75"/>
      <c r="AC32" s="75"/>
      <c r="AD32" s="75"/>
      <c r="AE32" s="75"/>
      <c r="AF32" s="75"/>
      <c r="AG32" s="75"/>
      <c r="AH32" s="75"/>
      <c r="AI32" s="76"/>
      <c r="AJ32" s="76"/>
      <c r="AK32" s="76"/>
      <c r="AL32" s="76"/>
      <c r="AM32" s="76"/>
      <c r="AN32" s="75"/>
      <c r="AO32" s="92"/>
      <c r="AP32" s="63"/>
    </row>
    <row r="33" spans="1:47" ht="16.2" thickBot="1" x14ac:dyDescent="0.35">
      <c r="A33" s="93"/>
      <c r="B33" s="66">
        <v>10</v>
      </c>
      <c r="C33" s="87"/>
      <c r="D33" s="88"/>
      <c r="E33" s="88"/>
      <c r="F33" s="88"/>
      <c r="G33" s="88"/>
      <c r="H33" s="88"/>
      <c r="I33" s="89"/>
      <c r="J33" s="91"/>
      <c r="K33" s="91"/>
      <c r="L33" s="90"/>
      <c r="M33" s="91"/>
      <c r="N33" s="84"/>
      <c r="O33" s="60"/>
      <c r="P33" s="61"/>
      <c r="Q33" s="60"/>
      <c r="R33" s="61"/>
      <c r="S33" s="60"/>
      <c r="T33" s="62"/>
      <c r="U33" s="224"/>
      <c r="V33" s="225"/>
      <c r="Z33" s="71" t="s">
        <v>537</v>
      </c>
      <c r="AA33" s="86" t="s">
        <v>513</v>
      </c>
      <c r="AB33" s="86" t="s">
        <v>523</v>
      </c>
      <c r="AC33" s="86" t="s">
        <v>534</v>
      </c>
      <c r="AD33" s="86" t="s">
        <v>538</v>
      </c>
      <c r="AE33" s="86" t="s">
        <v>522</v>
      </c>
      <c r="AF33" s="86" t="s">
        <v>514</v>
      </c>
      <c r="AG33" s="86" t="s">
        <v>539</v>
      </c>
      <c r="AH33" s="86" t="s">
        <v>521</v>
      </c>
      <c r="AI33" s="86" t="s">
        <v>540</v>
      </c>
      <c r="AJ33" s="86" t="s">
        <v>532</v>
      </c>
      <c r="AK33" s="86" t="s">
        <v>541</v>
      </c>
      <c r="AL33" s="86" t="s">
        <v>542</v>
      </c>
      <c r="AM33" s="86" t="s">
        <v>543</v>
      </c>
      <c r="AN33" s="86" t="s">
        <v>544</v>
      </c>
      <c r="AO33" s="86" t="s">
        <v>525</v>
      </c>
      <c r="AP33" s="86" t="s">
        <v>528</v>
      </c>
      <c r="AQ33" s="86" t="s">
        <v>516</v>
      </c>
      <c r="AR33" s="86" t="s">
        <v>545</v>
      </c>
      <c r="AS33" s="86" t="s">
        <v>546</v>
      </c>
      <c r="AT33" s="86" t="s">
        <v>518</v>
      </c>
      <c r="AU33" s="86" t="s">
        <v>547</v>
      </c>
    </row>
    <row r="34" spans="1:47" ht="15.6" x14ac:dyDescent="0.3">
      <c r="A34" s="93"/>
      <c r="B34" s="55">
        <v>11</v>
      </c>
      <c r="C34" s="87"/>
      <c r="D34" s="88"/>
      <c r="E34" s="88"/>
      <c r="F34" s="88"/>
      <c r="G34" s="88"/>
      <c r="H34" s="88"/>
      <c r="I34" s="89"/>
      <c r="J34" s="91"/>
      <c r="K34" s="91"/>
      <c r="L34" s="91"/>
      <c r="M34" s="90"/>
      <c r="N34" s="84"/>
      <c r="O34" s="60"/>
      <c r="P34" s="61"/>
      <c r="Q34" s="60"/>
      <c r="R34" s="61"/>
      <c r="S34" s="60"/>
      <c r="T34" s="62"/>
      <c r="U34" s="224"/>
      <c r="V34" s="225"/>
      <c r="Z34" s="76" t="s">
        <v>548</v>
      </c>
      <c r="AK34" s="82"/>
      <c r="AL34" s="82"/>
      <c r="AM34" s="82"/>
      <c r="AN34" s="82"/>
      <c r="AO34" s="94"/>
      <c r="AP34" s="54"/>
    </row>
    <row r="35" spans="1:47" ht="16.2" thickBot="1" x14ac:dyDescent="0.35">
      <c r="A35" s="95"/>
      <c r="B35" s="96">
        <v>12</v>
      </c>
      <c r="C35" s="97"/>
      <c r="D35" s="98"/>
      <c r="E35" s="98"/>
      <c r="F35" s="98"/>
      <c r="G35" s="98"/>
      <c r="H35" s="98"/>
      <c r="I35" s="98"/>
      <c r="J35" s="99"/>
      <c r="K35" s="99"/>
      <c r="L35" s="99"/>
      <c r="M35" s="99"/>
      <c r="N35" s="100"/>
      <c r="O35" s="101"/>
      <c r="P35" s="102"/>
      <c r="Q35" s="101"/>
      <c r="R35" s="102"/>
      <c r="S35" s="101"/>
      <c r="T35" s="103"/>
      <c r="U35" s="231"/>
      <c r="V35" s="232"/>
      <c r="Z35" s="76"/>
      <c r="AA35" s="76"/>
      <c r="AB35" s="76"/>
      <c r="AC35" s="76"/>
      <c r="AD35" s="76"/>
      <c r="AE35" s="76"/>
      <c r="AF35" s="76"/>
      <c r="AG35" s="76"/>
      <c r="AH35" s="76"/>
      <c r="AI35" s="76"/>
      <c r="AJ35" s="76"/>
      <c r="AK35" s="76"/>
      <c r="AL35" s="76"/>
      <c r="AM35" s="76"/>
      <c r="AN35" s="76"/>
      <c r="AO35" s="104"/>
      <c r="AP35" s="105"/>
    </row>
    <row r="36" spans="1:47" ht="15.6" x14ac:dyDescent="0.3">
      <c r="A36" s="106"/>
      <c r="B36" s="107"/>
      <c r="C36" s="108"/>
      <c r="D36" s="108"/>
      <c r="E36" s="108"/>
      <c r="F36" s="108"/>
      <c r="G36" s="108"/>
      <c r="H36" s="108"/>
      <c r="I36" s="108"/>
      <c r="J36" s="108"/>
      <c r="K36" s="108"/>
      <c r="L36" s="108"/>
      <c r="M36" s="108"/>
      <c r="N36" s="108"/>
      <c r="O36" s="109"/>
      <c r="P36" s="109"/>
      <c r="Q36" s="109"/>
      <c r="R36" s="109"/>
      <c r="S36" s="109"/>
      <c r="T36" s="109"/>
      <c r="Z36" s="110" t="s">
        <v>549</v>
      </c>
      <c r="AA36" s="86" t="s">
        <v>514</v>
      </c>
      <c r="AB36" s="86" t="s">
        <v>529</v>
      </c>
      <c r="AC36" s="86" t="s">
        <v>550</v>
      </c>
      <c r="AD36" s="86" t="s">
        <v>551</v>
      </c>
      <c r="AE36" s="86" t="s">
        <v>518</v>
      </c>
      <c r="AF36" s="86" t="s">
        <v>517</v>
      </c>
      <c r="AG36" s="86" t="s">
        <v>533</v>
      </c>
      <c r="AH36" s="86" t="s">
        <v>552</v>
      </c>
      <c r="AI36" s="86" t="s">
        <v>524</v>
      </c>
      <c r="AJ36" s="86" t="s">
        <v>553</v>
      </c>
      <c r="AK36" s="86" t="s">
        <v>554</v>
      </c>
      <c r="AL36" s="86" t="s">
        <v>539</v>
      </c>
      <c r="AM36" s="86" t="s">
        <v>526</v>
      </c>
      <c r="AN36" s="86" t="s">
        <v>555</v>
      </c>
      <c r="AO36" s="104"/>
      <c r="AP36" s="105"/>
    </row>
    <row r="37" spans="1:47" ht="15.6" x14ac:dyDescent="0.3">
      <c r="A37" s="76" t="s">
        <v>556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t="s">
        <v>557</v>
      </c>
      <c r="AO37" s="104"/>
      <c r="AP37" s="105"/>
    </row>
    <row r="38" spans="1:47" ht="15.6" x14ac:dyDescent="0.3">
      <c r="A38" s="111"/>
      <c r="B38" s="75"/>
      <c r="C38" s="75"/>
      <c r="D38" s="75"/>
      <c r="E38" s="75"/>
      <c r="F38" s="75"/>
      <c r="G38" s="75"/>
      <c r="H38" s="75"/>
      <c r="I38" s="75"/>
      <c r="J38" s="75"/>
      <c r="K38" s="75"/>
      <c r="L38" s="75"/>
      <c r="M38" s="75"/>
      <c r="N38" s="75"/>
      <c r="O38" s="76"/>
      <c r="P38" s="77"/>
      <c r="Q38" s="65"/>
      <c r="Z38" s="76"/>
      <c r="AA38" s="86" t="s">
        <v>558</v>
      </c>
      <c r="AB38" s="86" t="s">
        <v>534</v>
      </c>
      <c r="AC38" s="86" t="s">
        <v>559</v>
      </c>
      <c r="AD38" s="86" t="s">
        <v>522</v>
      </c>
      <c r="AE38" s="86" t="s">
        <v>560</v>
      </c>
      <c r="AF38" s="86" t="s">
        <v>561</v>
      </c>
      <c r="AG38" s="86" t="s">
        <v>562</v>
      </c>
      <c r="AH38" s="86" t="s">
        <v>563</v>
      </c>
      <c r="AI38" s="86" t="s">
        <v>525</v>
      </c>
      <c r="AJ38" s="86" t="s">
        <v>564</v>
      </c>
      <c r="AK38" s="86" t="s">
        <v>543</v>
      </c>
      <c r="AL38" s="86" t="s">
        <v>565</v>
      </c>
      <c r="AM38" s="86" t="s">
        <v>544</v>
      </c>
      <c r="AN38" s="86" t="s">
        <v>515</v>
      </c>
      <c r="AO38" s="104"/>
      <c r="AP38" s="105"/>
    </row>
    <row r="39" spans="1:47" ht="16.2" thickBot="1" x14ac:dyDescent="0.35">
      <c r="A39" s="78"/>
      <c r="B39" s="79"/>
      <c r="C39" s="75"/>
      <c r="D39" s="75"/>
      <c r="E39" s="75"/>
      <c r="F39" s="75"/>
      <c r="G39" s="75"/>
      <c r="H39" s="75"/>
      <c r="I39" s="75"/>
      <c r="J39" s="75"/>
      <c r="K39" s="75"/>
      <c r="L39" s="75"/>
      <c r="M39" s="75"/>
      <c r="N39" s="75"/>
      <c r="O39" s="76"/>
      <c r="P39" s="77"/>
      <c r="Q39" s="65"/>
      <c r="Z39" s="76"/>
      <c r="AA39" s="76"/>
      <c r="AB39" s="76"/>
      <c r="AC39" s="76"/>
      <c r="AD39" s="76"/>
      <c r="AE39" s="76"/>
      <c r="AF39" s="76"/>
      <c r="AG39" s="76"/>
      <c r="AH39" s="76"/>
      <c r="AI39" s="76"/>
      <c r="AJ39" s="76"/>
      <c r="AK39" s="76"/>
      <c r="AL39" s="76"/>
      <c r="AM39" s="76"/>
      <c r="AN39" s="76"/>
      <c r="AO39" s="104"/>
      <c r="AP39" s="105"/>
    </row>
    <row r="40" spans="1:47" ht="15" thickBot="1" x14ac:dyDescent="0.35">
      <c r="A40" s="137"/>
      <c r="B40" s="76"/>
      <c r="C40" s="76"/>
      <c r="D40" s="76"/>
      <c r="E40" s="76"/>
      <c r="F40" s="76"/>
      <c r="G40" s="76"/>
      <c r="H40" s="76"/>
      <c r="I40" s="76"/>
      <c r="J40" s="76"/>
      <c r="K40" s="76"/>
      <c r="L40" s="76"/>
      <c r="M40" s="76"/>
      <c r="N40" s="76"/>
      <c r="O40" s="76"/>
      <c r="P40" s="76"/>
      <c r="Q40" s="54"/>
      <c r="Z40" s="71" t="s">
        <v>566</v>
      </c>
      <c r="AA40" s="86" t="s">
        <v>567</v>
      </c>
      <c r="AB40" s="86" t="s">
        <v>559</v>
      </c>
      <c r="AC40" s="86" t="s">
        <v>561</v>
      </c>
      <c r="AD40" s="86" t="s">
        <v>543</v>
      </c>
      <c r="AE40" s="86" t="s">
        <v>529</v>
      </c>
      <c r="AF40" s="86" t="s">
        <v>568</v>
      </c>
      <c r="AG40" s="86" t="s">
        <v>554</v>
      </c>
      <c r="AH40" s="86" t="s">
        <v>550</v>
      </c>
      <c r="AI40" s="86" t="s">
        <v>546</v>
      </c>
      <c r="AJ40" s="86" t="s">
        <v>518</v>
      </c>
      <c r="AK40" s="86" t="s">
        <v>569</v>
      </c>
      <c r="AL40" s="86" t="s">
        <v>570</v>
      </c>
      <c r="AM40" s="86" t="s">
        <v>558</v>
      </c>
      <c r="AN40" s="86" t="s">
        <v>560</v>
      </c>
      <c r="AO40" s="86" t="s">
        <v>571</v>
      </c>
      <c r="AP40" s="86" t="s">
        <v>572</v>
      </c>
      <c r="AQ40" s="86" t="s">
        <v>573</v>
      </c>
      <c r="AR40" s="86" t="s">
        <v>574</v>
      </c>
      <c r="AS40" s="86" t="s">
        <v>542</v>
      </c>
      <c r="AT40" s="86" t="s">
        <v>516</v>
      </c>
      <c r="AU40" s="86" t="s">
        <v>575</v>
      </c>
    </row>
    <row r="41" spans="1:47" ht="15.6" x14ac:dyDescent="0.3">
      <c r="A41" s="137"/>
      <c r="J41" s="82"/>
      <c r="K41" s="82"/>
      <c r="L41" s="82"/>
      <c r="M41" s="82"/>
      <c r="N41" s="82"/>
      <c r="O41" s="82"/>
      <c r="P41" s="104"/>
      <c r="Q41" s="105"/>
      <c r="Z41" s="76" t="s">
        <v>576</v>
      </c>
      <c r="AO41" s="104"/>
      <c r="AP41" s="105"/>
    </row>
    <row r="42" spans="1:47" ht="14.4" x14ac:dyDescent="0.3">
      <c r="A42" s="137"/>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86" t="s">
        <v>577</v>
      </c>
      <c r="AB42" s="86" t="s">
        <v>538</v>
      </c>
      <c r="AC42" s="86" t="s">
        <v>540</v>
      </c>
      <c r="AD42" s="86" t="s">
        <v>553</v>
      </c>
      <c r="AE42" s="86" t="s">
        <v>578</v>
      </c>
      <c r="AF42" s="86" t="s">
        <v>552</v>
      </c>
      <c r="AG42" s="86" t="s">
        <v>524</v>
      </c>
      <c r="AH42" s="86" t="s">
        <v>531</v>
      </c>
      <c r="AI42" s="86" t="s">
        <v>532</v>
      </c>
      <c r="AJ42" s="86" t="s">
        <v>579</v>
      </c>
      <c r="AK42" s="86" t="s">
        <v>580</v>
      </c>
      <c r="AL42" s="86" t="s">
        <v>535</v>
      </c>
      <c r="AM42" s="86" t="s">
        <v>534</v>
      </c>
      <c r="AN42" s="86" t="s">
        <v>581</v>
      </c>
      <c r="AO42" s="86" t="s">
        <v>582</v>
      </c>
      <c r="AP42" s="54"/>
    </row>
    <row r="43" spans="1:47" ht="15.6" x14ac:dyDescent="0.3">
      <c r="Z43" s="76"/>
      <c r="AI43" s="82"/>
      <c r="AJ43" s="82"/>
      <c r="AK43" s="82"/>
      <c r="AL43" s="82"/>
      <c r="AM43" s="82"/>
      <c r="AN43" s="82"/>
      <c r="AO43" s="104"/>
      <c r="AP43" s="105"/>
    </row>
    <row r="44" spans="1:47" ht="15.6" x14ac:dyDescent="0.3">
      <c r="B44" s="76"/>
      <c r="C44" s="76"/>
      <c r="D44" s="76"/>
      <c r="AN44" s="82"/>
      <c r="AO44" s="104"/>
      <c r="AP44" s="105"/>
    </row>
    <row r="45" spans="1:47" ht="22.8" x14ac:dyDescent="0.4">
      <c r="A45" s="233" t="s">
        <v>583</v>
      </c>
      <c r="B45" s="233"/>
      <c r="C45" s="233"/>
      <c r="D45" s="233"/>
      <c r="E45" s="233"/>
      <c r="F45" s="233"/>
      <c r="G45" s="108"/>
      <c r="H45" s="108"/>
      <c r="I45" s="108"/>
      <c r="J45" s="108"/>
      <c r="K45" s="108"/>
      <c r="L45" s="108"/>
      <c r="M45" s="108"/>
      <c r="N45" s="108"/>
      <c r="O45" s="109"/>
      <c r="P45" s="109"/>
      <c r="Q45" s="104"/>
      <c r="R45" s="104"/>
      <c r="S45" s="104"/>
      <c r="T45" s="104"/>
      <c r="U45" s="104"/>
      <c r="V45" s="104"/>
      <c r="W45" s="104"/>
      <c r="X45" s="104"/>
      <c r="Y45" s="104"/>
      <c r="Z45" s="111"/>
      <c r="AA45" s="76"/>
      <c r="AB45" s="76"/>
      <c r="AC45" s="76"/>
      <c r="AD45" s="76"/>
      <c r="AE45" s="76"/>
      <c r="AF45" s="76"/>
      <c r="AG45" s="76"/>
      <c r="AH45" s="76"/>
      <c r="AI45" s="76"/>
      <c r="AJ45" s="76"/>
      <c r="AK45" s="76"/>
      <c r="AL45" s="76"/>
      <c r="AM45" s="76"/>
      <c r="AN45" s="76"/>
      <c r="AO45" s="76"/>
      <c r="AP45" s="76"/>
      <c r="AQ45" s="76"/>
      <c r="AR45" s="76"/>
      <c r="AS45" s="76"/>
      <c r="AT45" s="76"/>
      <c r="AU45" s="76"/>
    </row>
    <row r="46" spans="1:47" ht="23.4" thickBot="1" x14ac:dyDescent="0.45">
      <c r="A46" s="112"/>
      <c r="B46" s="112"/>
      <c r="C46" s="112"/>
      <c r="D46" s="112"/>
      <c r="E46" s="112"/>
      <c r="F46" s="112"/>
      <c r="G46" s="108"/>
      <c r="H46" s="108"/>
      <c r="I46" s="108"/>
      <c r="J46" s="108"/>
      <c r="K46" s="108"/>
      <c r="L46" s="108"/>
      <c r="M46" s="108"/>
      <c r="N46" s="108"/>
      <c r="O46" s="109"/>
      <c r="P46" s="109"/>
      <c r="Q46" s="104"/>
      <c r="R46" s="104"/>
      <c r="S46" s="104"/>
      <c r="T46" s="104"/>
      <c r="U46" s="104"/>
      <c r="V46" s="104"/>
      <c r="W46" s="104"/>
      <c r="X46" s="104"/>
      <c r="Y46" s="104"/>
      <c r="Z46" s="76"/>
    </row>
    <row r="47" spans="1:47" ht="100.2" customHeight="1" thickBot="1" x14ac:dyDescent="0.55000000000000004">
      <c r="A47" s="214" t="str">
        <f>CONCATENATE(AH3,"                ",AG3)</f>
        <v>SABEL                groot wapen</v>
      </c>
      <c r="B47" s="215"/>
      <c r="C47" s="216" t="str">
        <f>CONCATENATE(AE3,"                     ", AF3)</f>
        <v>LOPER                      gemengd elek./mech.</v>
      </c>
      <c r="D47" s="217"/>
      <c r="E47" s="218"/>
      <c r="F47" s="218"/>
      <c r="G47" s="218"/>
      <c r="H47" s="218"/>
      <c r="I47" s="218"/>
      <c r="J47" s="218"/>
      <c r="K47" s="219"/>
      <c r="L47" s="220">
        <f>AC3</f>
        <v>0</v>
      </c>
      <c r="M47" s="221"/>
      <c r="N47" s="42" t="s">
        <v>503</v>
      </c>
      <c r="O47" s="222" t="s">
        <v>504</v>
      </c>
      <c r="P47" s="223"/>
      <c r="Q47" s="222" t="s">
        <v>505</v>
      </c>
      <c r="R47" s="223"/>
      <c r="S47" s="222" t="s">
        <v>506</v>
      </c>
      <c r="T47" s="223"/>
      <c r="U47" s="234" t="s">
        <v>584</v>
      </c>
      <c r="V47" s="235"/>
      <c r="W47" s="130"/>
      <c r="X47" s="209" t="s">
        <v>412</v>
      </c>
      <c r="Y47" s="132"/>
      <c r="Z47" s="76"/>
      <c r="AA47" s="76"/>
      <c r="AB47" s="76"/>
      <c r="AC47" s="76"/>
      <c r="AD47" s="76"/>
      <c r="AE47" s="76"/>
      <c r="AF47" s="76"/>
      <c r="AG47" s="76"/>
      <c r="AH47" s="76"/>
      <c r="AI47" s="76"/>
      <c r="AJ47" s="76"/>
      <c r="AK47" s="76"/>
      <c r="AL47" s="76"/>
      <c r="AM47" s="76"/>
      <c r="AN47" s="76"/>
      <c r="AO47" s="76"/>
      <c r="AP47" s="76"/>
      <c r="AQ47" s="76"/>
      <c r="AR47" s="76"/>
      <c r="AS47" s="76"/>
      <c r="AT47" s="76"/>
      <c r="AU47" s="76"/>
    </row>
    <row r="48" spans="1:47" ht="16.2" thickBot="1" x14ac:dyDescent="0.35">
      <c r="A48" s="49" t="s">
        <v>508</v>
      </c>
      <c r="B48" s="113"/>
      <c r="C48" s="45">
        <v>1</v>
      </c>
      <c r="D48" s="46">
        <v>2</v>
      </c>
      <c r="E48" s="46">
        <v>3</v>
      </c>
      <c r="F48" s="46">
        <v>4</v>
      </c>
      <c r="G48" s="46">
        <v>5</v>
      </c>
      <c r="H48" s="46">
        <v>6</v>
      </c>
      <c r="I48" s="46">
        <v>7</v>
      </c>
      <c r="J48" s="46">
        <v>8</v>
      </c>
      <c r="K48" s="46">
        <v>9</v>
      </c>
      <c r="L48" s="47">
        <v>10</v>
      </c>
      <c r="M48" s="47">
        <v>11</v>
      </c>
      <c r="N48" s="48">
        <v>12</v>
      </c>
      <c r="O48" s="49" t="s">
        <v>509</v>
      </c>
      <c r="P48" s="50" t="s">
        <v>510</v>
      </c>
      <c r="Q48" s="51" t="s">
        <v>509</v>
      </c>
      <c r="R48" s="48" t="s">
        <v>510</v>
      </c>
      <c r="S48" s="51" t="s">
        <v>509</v>
      </c>
      <c r="T48" s="52" t="s">
        <v>510</v>
      </c>
      <c r="U48" s="236"/>
      <c r="V48" s="237"/>
      <c r="W48" s="131"/>
      <c r="X48" s="131"/>
      <c r="Y48" s="131"/>
      <c r="Z48" s="114" t="s">
        <v>527</v>
      </c>
      <c r="AA48" s="115" t="s">
        <v>513</v>
      </c>
      <c r="AB48" s="115" t="s">
        <v>578</v>
      </c>
      <c r="AC48" s="115" t="s">
        <v>523</v>
      </c>
      <c r="AD48" s="115" t="s">
        <v>585</v>
      </c>
      <c r="AE48" s="115" t="s">
        <v>542</v>
      </c>
      <c r="AF48" s="115" t="s">
        <v>577</v>
      </c>
      <c r="AG48" s="115" t="s">
        <v>535</v>
      </c>
      <c r="AH48" s="115" t="s">
        <v>586</v>
      </c>
      <c r="AI48" s="115" t="s">
        <v>514</v>
      </c>
      <c r="AJ48" s="115" t="s">
        <v>587</v>
      </c>
      <c r="AK48" s="115" t="s">
        <v>521</v>
      </c>
      <c r="AL48" s="115" t="s">
        <v>588</v>
      </c>
      <c r="AM48" s="115" t="s">
        <v>526</v>
      </c>
      <c r="AN48" s="115" t="s">
        <v>589</v>
      </c>
      <c r="AO48" s="115" t="s">
        <v>518</v>
      </c>
      <c r="AP48" s="115" t="s">
        <v>539</v>
      </c>
      <c r="AQ48" s="115" t="s">
        <v>517</v>
      </c>
      <c r="AR48" s="115" t="s">
        <v>590</v>
      </c>
      <c r="AS48" s="115" t="s">
        <v>591</v>
      </c>
      <c r="AT48" s="115" t="s">
        <v>528</v>
      </c>
      <c r="AU48" s="115" t="s">
        <v>581</v>
      </c>
    </row>
    <row r="49" spans="1:47" ht="15.6" x14ac:dyDescent="0.3">
      <c r="A49" s="1"/>
      <c r="B49" s="116">
        <v>1</v>
      </c>
      <c r="C49" s="56"/>
      <c r="D49" s="57"/>
      <c r="E49" s="57"/>
      <c r="F49" s="57"/>
      <c r="G49" s="57"/>
      <c r="H49" s="57"/>
      <c r="I49" s="57"/>
      <c r="J49" s="58"/>
      <c r="K49" s="58"/>
      <c r="L49" s="58"/>
      <c r="M49" s="58"/>
      <c r="N49" s="59"/>
      <c r="O49" s="60"/>
      <c r="P49" s="61"/>
      <c r="Q49" s="60"/>
      <c r="R49" s="61"/>
      <c r="S49" s="60"/>
      <c r="T49" s="62"/>
      <c r="U49" s="224"/>
      <c r="V49" s="225"/>
      <c r="Z49" s="76" t="s">
        <v>592</v>
      </c>
    </row>
    <row r="50" spans="1:47" ht="15.6" x14ac:dyDescent="0.3">
      <c r="A50" s="1"/>
      <c r="B50" s="117">
        <v>2</v>
      </c>
      <c r="C50" s="67"/>
      <c r="D50" s="68"/>
      <c r="E50" s="69"/>
      <c r="F50" s="69"/>
      <c r="G50" s="69"/>
      <c r="H50" s="69"/>
      <c r="I50" s="69"/>
      <c r="J50" s="70"/>
      <c r="K50" s="70"/>
      <c r="L50" s="70"/>
      <c r="M50" s="70"/>
      <c r="N50" s="59"/>
      <c r="O50" s="60"/>
      <c r="P50" s="61"/>
      <c r="Q50" s="60"/>
      <c r="R50" s="61"/>
      <c r="S50" s="60"/>
      <c r="T50" s="62"/>
      <c r="U50" s="224"/>
      <c r="V50" s="225"/>
      <c r="Z50" s="76"/>
      <c r="AA50" s="86" t="s">
        <v>593</v>
      </c>
      <c r="AB50" s="86" t="s">
        <v>594</v>
      </c>
      <c r="AC50" s="86" t="s">
        <v>546</v>
      </c>
      <c r="AD50" s="86" t="s">
        <v>595</v>
      </c>
      <c r="AE50" s="86" t="s">
        <v>555</v>
      </c>
      <c r="AF50" s="86" t="s">
        <v>579</v>
      </c>
      <c r="AG50" s="86" t="s">
        <v>531</v>
      </c>
      <c r="AH50" s="86" t="s">
        <v>550</v>
      </c>
      <c r="AI50" s="86" t="s">
        <v>596</v>
      </c>
      <c r="AJ50" s="86" t="s">
        <v>563</v>
      </c>
      <c r="AK50" s="86" t="s">
        <v>573</v>
      </c>
      <c r="AL50" s="86" t="s">
        <v>597</v>
      </c>
      <c r="AM50" s="86" t="s">
        <v>567</v>
      </c>
      <c r="AN50" s="86" t="s">
        <v>561</v>
      </c>
      <c r="AO50" s="86" t="s">
        <v>598</v>
      </c>
      <c r="AP50" s="86" t="s">
        <v>530</v>
      </c>
      <c r="AQ50" s="86" t="s">
        <v>599</v>
      </c>
      <c r="AR50" s="86" t="s">
        <v>600</v>
      </c>
      <c r="AS50" s="86" t="s">
        <v>538</v>
      </c>
      <c r="AT50" s="86" t="s">
        <v>562</v>
      </c>
      <c r="AU50" s="86" t="s">
        <v>568</v>
      </c>
    </row>
    <row r="51" spans="1:47" ht="15.6" x14ac:dyDescent="0.3">
      <c r="A51" s="1"/>
      <c r="B51" s="116">
        <v>3</v>
      </c>
      <c r="C51" s="67"/>
      <c r="D51" s="69"/>
      <c r="E51" s="68"/>
      <c r="F51" s="69"/>
      <c r="G51" s="69"/>
      <c r="H51" s="69"/>
      <c r="I51" s="69"/>
      <c r="J51" s="70"/>
      <c r="K51" s="70"/>
      <c r="L51" s="70"/>
      <c r="M51" s="70"/>
      <c r="N51" s="59"/>
      <c r="O51" s="60"/>
      <c r="P51" s="61"/>
      <c r="Q51" s="60"/>
      <c r="R51" s="61"/>
      <c r="S51" s="60"/>
      <c r="T51" s="62"/>
      <c r="U51" s="224"/>
      <c r="V51" s="225"/>
      <c r="Z51" s="82"/>
      <c r="AG51" s="82"/>
      <c r="AH51" s="82"/>
      <c r="AI51" s="82"/>
      <c r="AJ51" s="82"/>
      <c r="AK51" s="82"/>
      <c r="AL51" s="82"/>
      <c r="AM51" s="82"/>
      <c r="AN51" s="82"/>
      <c r="AO51" s="94"/>
      <c r="AP51" s="54"/>
    </row>
    <row r="52" spans="1:47" ht="15.6" x14ac:dyDescent="0.3">
      <c r="A52" s="1"/>
      <c r="B52" s="117">
        <v>4</v>
      </c>
      <c r="C52" s="67"/>
      <c r="D52" s="69"/>
      <c r="E52" s="69"/>
      <c r="F52" s="68"/>
      <c r="G52" s="69"/>
      <c r="H52" s="69"/>
      <c r="I52" s="69"/>
      <c r="J52" s="70"/>
      <c r="K52" s="70"/>
      <c r="L52" s="70"/>
      <c r="M52" s="70"/>
      <c r="N52" s="59"/>
      <c r="O52" s="60"/>
      <c r="P52" s="61"/>
      <c r="Q52" s="60"/>
      <c r="R52" s="61"/>
      <c r="S52" s="60"/>
      <c r="T52" s="62"/>
      <c r="U52" s="224"/>
      <c r="V52" s="225"/>
      <c r="AA52" s="86" t="s">
        <v>534</v>
      </c>
      <c r="AB52" s="86" t="s">
        <v>541</v>
      </c>
      <c r="AC52" s="86" t="s">
        <v>601</v>
      </c>
      <c r="AO52" s="94"/>
      <c r="AP52" s="54"/>
    </row>
    <row r="53" spans="1:47" ht="15.6" x14ac:dyDescent="0.3">
      <c r="A53" s="1"/>
      <c r="B53" s="116">
        <v>5</v>
      </c>
      <c r="C53" s="67"/>
      <c r="D53" s="69"/>
      <c r="E53" s="69"/>
      <c r="F53" s="69"/>
      <c r="G53" s="68"/>
      <c r="H53" s="69"/>
      <c r="I53" s="69"/>
      <c r="J53" s="70"/>
      <c r="K53" s="70"/>
      <c r="L53" s="70"/>
      <c r="M53" s="70"/>
      <c r="N53" s="59"/>
      <c r="O53" s="60"/>
      <c r="P53" s="61"/>
      <c r="Q53" s="60"/>
      <c r="R53" s="61"/>
      <c r="S53" s="60"/>
      <c r="T53" s="62"/>
      <c r="U53" s="224"/>
      <c r="V53" s="225"/>
      <c r="AO53" s="77"/>
      <c r="AP53" s="65"/>
    </row>
    <row r="54" spans="1:47" ht="15.6" x14ac:dyDescent="0.3">
      <c r="A54" s="1"/>
      <c r="B54" s="117">
        <v>6</v>
      </c>
      <c r="C54" s="67"/>
      <c r="D54" s="69"/>
      <c r="E54" s="69"/>
      <c r="F54" s="69"/>
      <c r="G54" s="69"/>
      <c r="H54" s="68"/>
      <c r="I54" s="69"/>
      <c r="J54" s="70"/>
      <c r="K54" s="70"/>
      <c r="L54" s="70"/>
      <c r="M54" s="70"/>
      <c r="N54" s="59"/>
      <c r="O54" s="60"/>
      <c r="P54" s="61"/>
      <c r="Q54" s="60"/>
      <c r="R54" s="61"/>
      <c r="S54" s="60"/>
      <c r="T54" s="62"/>
      <c r="U54" s="224"/>
      <c r="V54" s="225"/>
      <c r="AO54" s="77"/>
      <c r="AP54" s="65"/>
    </row>
    <row r="55" spans="1:47" ht="15.6" x14ac:dyDescent="0.3">
      <c r="A55" s="1"/>
      <c r="B55" s="116">
        <v>7</v>
      </c>
      <c r="C55" s="67"/>
      <c r="D55" s="69"/>
      <c r="E55" s="69"/>
      <c r="F55" s="69"/>
      <c r="G55" s="69"/>
      <c r="H55" s="69"/>
      <c r="I55" s="68"/>
      <c r="J55" s="83"/>
      <c r="K55" s="83"/>
      <c r="L55" s="83"/>
      <c r="M55" s="83"/>
      <c r="N55" s="84"/>
      <c r="O55" s="60"/>
      <c r="P55" s="61"/>
      <c r="Q55" s="60"/>
      <c r="R55" s="61"/>
      <c r="S55" s="60"/>
      <c r="T55" s="62"/>
      <c r="U55" s="224"/>
      <c r="V55" s="225"/>
      <c r="Z55" s="118">
        <v>11</v>
      </c>
      <c r="AA55" s="86" t="s">
        <v>602</v>
      </c>
      <c r="AB55" s="86" t="s">
        <v>603</v>
      </c>
      <c r="AC55" s="86" t="s">
        <v>594</v>
      </c>
      <c r="AD55" s="86" t="s">
        <v>573</v>
      </c>
      <c r="AE55" s="86" t="s">
        <v>539</v>
      </c>
      <c r="AF55" s="86" t="s">
        <v>604</v>
      </c>
      <c r="AG55" s="86" t="s">
        <v>568</v>
      </c>
      <c r="AH55" s="86" t="s">
        <v>593</v>
      </c>
      <c r="AI55" s="86" t="s">
        <v>547</v>
      </c>
      <c r="AJ55" s="86" t="s">
        <v>533</v>
      </c>
      <c r="AK55" s="86" t="s">
        <v>601</v>
      </c>
      <c r="AL55" s="86" t="s">
        <v>605</v>
      </c>
      <c r="AM55" s="86" t="s">
        <v>581</v>
      </c>
      <c r="AN55" s="86" t="s">
        <v>534</v>
      </c>
      <c r="AO55" s="86" t="s">
        <v>535</v>
      </c>
      <c r="AP55" s="86" t="s">
        <v>567</v>
      </c>
      <c r="AQ55" s="86" t="s">
        <v>589</v>
      </c>
      <c r="AR55" s="86" t="s">
        <v>606</v>
      </c>
      <c r="AS55" s="86" t="s">
        <v>523</v>
      </c>
      <c r="AT55" s="86" t="s">
        <v>517</v>
      </c>
      <c r="AU55" s="86" t="s">
        <v>580</v>
      </c>
    </row>
    <row r="56" spans="1:47" ht="15.6" x14ac:dyDescent="0.3">
      <c r="A56" s="1"/>
      <c r="B56" s="117">
        <v>8</v>
      </c>
      <c r="C56" s="87"/>
      <c r="D56" s="88"/>
      <c r="E56" s="88"/>
      <c r="F56" s="88"/>
      <c r="G56" s="88"/>
      <c r="H56" s="88"/>
      <c r="I56" s="89"/>
      <c r="J56" s="90"/>
      <c r="K56" s="91"/>
      <c r="L56" s="91"/>
      <c r="M56" s="91"/>
      <c r="N56" s="84"/>
      <c r="O56" s="60"/>
      <c r="P56" s="61"/>
      <c r="Q56" s="60"/>
      <c r="R56" s="61"/>
      <c r="S56" s="60"/>
      <c r="T56" s="62"/>
      <c r="U56" s="224"/>
      <c r="V56" s="225"/>
      <c r="Z56" s="82">
        <v>55</v>
      </c>
      <c r="AO56" s="94"/>
      <c r="AP56" s="54"/>
    </row>
    <row r="57" spans="1:47" ht="15.6" x14ac:dyDescent="0.3">
      <c r="A57" s="119"/>
      <c r="B57" s="116">
        <v>9</v>
      </c>
      <c r="C57" s="87"/>
      <c r="D57" s="88"/>
      <c r="E57" s="88"/>
      <c r="F57" s="88"/>
      <c r="G57" s="88"/>
      <c r="H57" s="88"/>
      <c r="I57" s="89"/>
      <c r="J57" s="91"/>
      <c r="K57" s="90"/>
      <c r="L57" s="91"/>
      <c r="M57" s="91"/>
      <c r="N57" s="84"/>
      <c r="O57" s="60"/>
      <c r="P57" s="61"/>
      <c r="Q57" s="60"/>
      <c r="R57" s="61"/>
      <c r="S57" s="60"/>
      <c r="T57" s="62"/>
      <c r="U57" s="224"/>
      <c r="V57" s="225"/>
      <c r="AA57" s="86" t="s">
        <v>579</v>
      </c>
      <c r="AB57" s="86" t="s">
        <v>588</v>
      </c>
      <c r="AC57" s="86" t="s">
        <v>607</v>
      </c>
      <c r="AD57" s="86" t="s">
        <v>514</v>
      </c>
      <c r="AE57" s="86" t="s">
        <v>564</v>
      </c>
      <c r="AF57" s="86" t="s">
        <v>577</v>
      </c>
      <c r="AG57" s="86" t="s">
        <v>599</v>
      </c>
      <c r="AH57" s="86" t="s">
        <v>608</v>
      </c>
      <c r="AI57" s="86" t="s">
        <v>609</v>
      </c>
      <c r="AJ57" s="86" t="s">
        <v>528</v>
      </c>
      <c r="AK57" s="86" t="s">
        <v>558</v>
      </c>
      <c r="AL57" s="86" t="s">
        <v>570</v>
      </c>
      <c r="AM57" s="86" t="s">
        <v>569</v>
      </c>
      <c r="AN57" s="86" t="s">
        <v>595</v>
      </c>
      <c r="AO57" s="86" t="s">
        <v>529</v>
      </c>
      <c r="AP57" s="86" t="s">
        <v>530</v>
      </c>
      <c r="AQ57" s="86" t="s">
        <v>545</v>
      </c>
      <c r="AR57" s="86" t="s">
        <v>598</v>
      </c>
      <c r="AS57" s="86" t="s">
        <v>610</v>
      </c>
      <c r="AT57" s="86" t="s">
        <v>513</v>
      </c>
      <c r="AU57" s="86" t="s">
        <v>531</v>
      </c>
    </row>
    <row r="58" spans="1:47" ht="15.6" x14ac:dyDescent="0.3">
      <c r="A58" s="119"/>
      <c r="B58" s="117">
        <v>10</v>
      </c>
      <c r="C58" s="87"/>
      <c r="D58" s="88"/>
      <c r="E58" s="88"/>
      <c r="F58" s="88"/>
      <c r="G58" s="88"/>
      <c r="H58" s="88"/>
      <c r="I58" s="89"/>
      <c r="J58" s="91"/>
      <c r="K58" s="91"/>
      <c r="L58" s="90"/>
      <c r="M58" s="91"/>
      <c r="N58" s="84"/>
      <c r="O58" s="60"/>
      <c r="P58" s="61"/>
      <c r="Q58" s="60"/>
      <c r="R58" s="61"/>
      <c r="S58" s="60"/>
      <c r="T58" s="62"/>
      <c r="U58" s="224"/>
      <c r="V58" s="225"/>
    </row>
    <row r="59" spans="1:47" ht="15.6" x14ac:dyDescent="0.3">
      <c r="A59" s="119"/>
      <c r="B59" s="116">
        <v>11</v>
      </c>
      <c r="C59" s="87"/>
      <c r="D59" s="88"/>
      <c r="E59" s="88"/>
      <c r="F59" s="88"/>
      <c r="G59" s="88"/>
      <c r="H59" s="88"/>
      <c r="I59" s="89"/>
      <c r="J59" s="91"/>
      <c r="K59" s="91"/>
      <c r="L59" s="91"/>
      <c r="M59" s="90"/>
      <c r="N59" s="84"/>
      <c r="O59" s="60"/>
      <c r="P59" s="61"/>
      <c r="Q59" s="60"/>
      <c r="R59" s="61"/>
      <c r="S59" s="60"/>
      <c r="T59" s="62"/>
      <c r="U59" s="224"/>
      <c r="V59" s="225"/>
      <c r="AA59" s="120" t="s">
        <v>532</v>
      </c>
      <c r="AB59" s="120" t="s">
        <v>611</v>
      </c>
      <c r="AC59" s="120" t="s">
        <v>586</v>
      </c>
      <c r="AD59" s="120" t="s">
        <v>515</v>
      </c>
      <c r="AE59" s="120" t="s">
        <v>526</v>
      </c>
      <c r="AF59" s="120" t="s">
        <v>612</v>
      </c>
      <c r="AG59" s="120" t="s">
        <v>585</v>
      </c>
      <c r="AH59" s="120" t="s">
        <v>590</v>
      </c>
      <c r="AI59" s="120" t="s">
        <v>518</v>
      </c>
      <c r="AJ59" s="120" t="s">
        <v>613</v>
      </c>
      <c r="AK59" s="120" t="s">
        <v>591</v>
      </c>
      <c r="AL59" s="120" t="s">
        <v>578</v>
      </c>
      <c r="AM59" s="120" t="s">
        <v>587</v>
      </c>
    </row>
    <row r="60" spans="1:47" ht="16.2" thickBot="1" x14ac:dyDescent="0.35">
      <c r="A60" s="121"/>
      <c r="B60" s="122">
        <v>12</v>
      </c>
      <c r="C60" s="97"/>
      <c r="D60" s="98"/>
      <c r="E60" s="98"/>
      <c r="F60" s="98"/>
      <c r="G60" s="98"/>
      <c r="H60" s="98"/>
      <c r="I60" s="98"/>
      <c r="J60" s="99"/>
      <c r="K60" s="99"/>
      <c r="L60" s="99"/>
      <c r="M60" s="99"/>
      <c r="N60" s="100"/>
      <c r="O60" s="101"/>
      <c r="P60" s="102"/>
      <c r="Q60" s="101"/>
      <c r="R60" s="102"/>
      <c r="S60" s="101"/>
      <c r="T60" s="103"/>
      <c r="U60" s="231"/>
      <c r="V60" s="232"/>
      <c r="Z60" s="123"/>
      <c r="AA60" s="76"/>
      <c r="AB60" s="76"/>
      <c r="AC60" s="76"/>
      <c r="AD60" s="76"/>
      <c r="AE60" s="76"/>
      <c r="AF60" s="76"/>
      <c r="AG60" s="76"/>
      <c r="AH60" s="76"/>
      <c r="AI60" s="76"/>
      <c r="AJ60" s="76"/>
      <c r="AK60" s="76"/>
      <c r="AL60" s="76"/>
      <c r="AM60" s="76"/>
      <c r="AN60" s="76"/>
      <c r="AO60" s="76"/>
      <c r="AP60" s="76"/>
      <c r="AQ60" s="76"/>
      <c r="AR60" s="76"/>
      <c r="AS60" s="76"/>
      <c r="AT60" s="76"/>
      <c r="AU60" s="76"/>
    </row>
    <row r="61" spans="1:47" ht="16.2" thickBot="1" x14ac:dyDescent="0.35">
      <c r="A61" s="124"/>
      <c r="B61" s="107"/>
      <c r="C61" s="108"/>
      <c r="D61" s="108"/>
      <c r="E61" s="108"/>
      <c r="F61" s="108"/>
      <c r="G61" s="108"/>
      <c r="H61" s="108"/>
      <c r="I61" s="108"/>
      <c r="J61" s="108"/>
      <c r="K61" s="108"/>
      <c r="L61" s="108"/>
      <c r="M61" s="108"/>
      <c r="N61" s="108"/>
      <c r="O61" s="109"/>
      <c r="P61" s="109"/>
      <c r="Q61" s="104"/>
      <c r="R61" s="104"/>
      <c r="S61" s="104"/>
      <c r="T61" s="104"/>
      <c r="U61" s="104"/>
      <c r="V61" s="104"/>
      <c r="W61" s="104"/>
      <c r="X61" s="104"/>
      <c r="Y61" s="104"/>
      <c r="Z61" s="71" t="s">
        <v>614</v>
      </c>
      <c r="AA61" s="86" t="s">
        <v>615</v>
      </c>
      <c r="AB61" s="86" t="s">
        <v>602</v>
      </c>
      <c r="AC61" s="86" t="s">
        <v>603</v>
      </c>
      <c r="AD61" s="86" t="s">
        <v>594</v>
      </c>
      <c r="AE61" s="86" t="s">
        <v>573</v>
      </c>
      <c r="AF61" s="86" t="s">
        <v>539</v>
      </c>
      <c r="AG61" s="86" t="s">
        <v>604</v>
      </c>
      <c r="AH61" s="86" t="s">
        <v>616</v>
      </c>
      <c r="AI61" s="86" t="s">
        <v>568</v>
      </c>
      <c r="AJ61" s="86" t="s">
        <v>593</v>
      </c>
      <c r="AK61" s="86" t="s">
        <v>547</v>
      </c>
      <c r="AL61" s="86" t="s">
        <v>533</v>
      </c>
      <c r="AM61" s="86" t="s">
        <v>601</v>
      </c>
      <c r="AN61" s="86" t="s">
        <v>605</v>
      </c>
      <c r="AO61" s="86" t="s">
        <v>617</v>
      </c>
      <c r="AP61" s="86" t="s">
        <v>581</v>
      </c>
      <c r="AQ61" s="86" t="s">
        <v>534</v>
      </c>
      <c r="AR61" s="86" t="s">
        <v>535</v>
      </c>
      <c r="AS61" s="86" t="s">
        <v>567</v>
      </c>
      <c r="AT61" s="86" t="s">
        <v>589</v>
      </c>
      <c r="AU61" s="86" t="s">
        <v>606</v>
      </c>
    </row>
    <row r="62" spans="1:47" ht="15.6" x14ac:dyDescent="0.3">
      <c r="A62" s="76" t="s">
        <v>556</v>
      </c>
      <c r="B62" s="107"/>
      <c r="C62" s="108"/>
      <c r="D62" s="108"/>
      <c r="E62" s="108"/>
      <c r="F62" s="108"/>
      <c r="G62" s="108"/>
      <c r="H62" s="108"/>
      <c r="I62" s="108"/>
      <c r="J62" s="108"/>
      <c r="K62" s="108"/>
      <c r="L62" s="108"/>
      <c r="M62" s="108"/>
      <c r="N62" s="108"/>
      <c r="O62" s="109"/>
      <c r="P62" s="109"/>
      <c r="Q62" s="104"/>
      <c r="R62" s="104"/>
      <c r="S62" s="104"/>
      <c r="T62" s="104"/>
      <c r="U62" s="104"/>
      <c r="V62" s="104"/>
      <c r="W62" s="104"/>
      <c r="X62" s="104"/>
      <c r="Y62" s="104"/>
      <c r="Z62" s="76" t="s">
        <v>618</v>
      </c>
    </row>
    <row r="63" spans="1:47" ht="15" x14ac:dyDescent="0.25">
      <c r="A63" s="111"/>
      <c r="B63" s="75"/>
      <c r="C63" s="75"/>
      <c r="D63" s="75"/>
      <c r="E63" s="75"/>
      <c r="F63" s="75"/>
      <c r="G63" s="75"/>
      <c r="H63" s="75"/>
      <c r="I63" s="75"/>
      <c r="J63" s="75"/>
      <c r="K63" s="75"/>
      <c r="L63" s="75"/>
      <c r="M63" s="75"/>
      <c r="N63" s="75"/>
      <c r="O63" s="76"/>
      <c r="P63" s="77"/>
      <c r="Q63" s="65"/>
      <c r="AA63" s="86" t="s">
        <v>619</v>
      </c>
      <c r="AB63" s="86" t="s">
        <v>523</v>
      </c>
      <c r="AC63" s="86" t="s">
        <v>517</v>
      </c>
      <c r="AD63" s="86" t="s">
        <v>580</v>
      </c>
      <c r="AE63" s="86" t="s">
        <v>579</v>
      </c>
      <c r="AF63" s="86" t="s">
        <v>588</v>
      </c>
      <c r="AG63" s="86" t="s">
        <v>607</v>
      </c>
      <c r="AH63" s="86" t="s">
        <v>620</v>
      </c>
      <c r="AI63" s="86" t="s">
        <v>514</v>
      </c>
      <c r="AJ63" s="86" t="s">
        <v>564</v>
      </c>
      <c r="AK63" s="86" t="s">
        <v>577</v>
      </c>
      <c r="AL63" s="86" t="s">
        <v>599</v>
      </c>
      <c r="AM63" s="86" t="s">
        <v>608</v>
      </c>
      <c r="AN63" s="86" t="s">
        <v>609</v>
      </c>
      <c r="AO63" s="86" t="s">
        <v>621</v>
      </c>
      <c r="AP63" s="86" t="s">
        <v>528</v>
      </c>
      <c r="AQ63" s="86" t="s">
        <v>558</v>
      </c>
      <c r="AR63" s="86" t="s">
        <v>570</v>
      </c>
      <c r="AS63" s="86" t="s">
        <v>569</v>
      </c>
      <c r="AT63" s="86" t="s">
        <v>595</v>
      </c>
      <c r="AU63" s="86" t="s">
        <v>622</v>
      </c>
    </row>
    <row r="64" spans="1:47" ht="15" x14ac:dyDescent="0.25">
      <c r="A64" s="78"/>
      <c r="B64" s="79"/>
      <c r="C64" s="75"/>
      <c r="D64" s="75"/>
      <c r="E64" s="75"/>
      <c r="F64" s="75"/>
      <c r="G64" s="75"/>
      <c r="H64" s="75"/>
      <c r="I64" s="75"/>
      <c r="J64" s="75"/>
      <c r="K64" s="75"/>
      <c r="L64" s="75"/>
      <c r="M64" s="75"/>
      <c r="N64" s="75"/>
      <c r="O64" s="76"/>
      <c r="P64" s="77"/>
      <c r="Q64" s="65"/>
      <c r="Z64" s="82"/>
    </row>
    <row r="65" spans="1:47" ht="13.8" thickBot="1" x14ac:dyDescent="0.3">
      <c r="A65" s="76"/>
      <c r="B65" s="76"/>
      <c r="C65" s="76"/>
      <c r="D65" s="76"/>
      <c r="E65" s="76"/>
      <c r="F65" s="76"/>
      <c r="G65" s="76"/>
      <c r="H65" s="76"/>
      <c r="I65" s="76"/>
      <c r="J65" s="76"/>
      <c r="K65" s="76"/>
      <c r="L65" s="76"/>
      <c r="M65" s="76"/>
      <c r="N65" s="76"/>
      <c r="O65" s="76"/>
      <c r="P65" s="76"/>
      <c r="Q65" s="54"/>
      <c r="Z65" s="82"/>
      <c r="AA65" s="86" t="s">
        <v>529</v>
      </c>
      <c r="AB65" s="86" t="s">
        <v>530</v>
      </c>
      <c r="AC65" s="86" t="s">
        <v>545</v>
      </c>
      <c r="AD65" s="86" t="s">
        <v>598</v>
      </c>
      <c r="AE65" s="86" t="s">
        <v>623</v>
      </c>
      <c r="AF65" s="86" t="s">
        <v>610</v>
      </c>
      <c r="AG65" s="86" t="s">
        <v>513</v>
      </c>
      <c r="AH65" s="86" t="s">
        <v>531</v>
      </c>
      <c r="AI65" s="86" t="s">
        <v>532</v>
      </c>
      <c r="AJ65" s="86" t="s">
        <v>624</v>
      </c>
      <c r="AK65" s="125" t="s">
        <v>611</v>
      </c>
      <c r="AL65" s="125" t="s">
        <v>586</v>
      </c>
      <c r="AM65" s="125" t="s">
        <v>515</v>
      </c>
      <c r="AN65" s="125" t="s">
        <v>526</v>
      </c>
      <c r="AO65" s="125" t="s">
        <v>625</v>
      </c>
      <c r="AP65" s="125" t="s">
        <v>612</v>
      </c>
      <c r="AQ65" s="125" t="s">
        <v>585</v>
      </c>
      <c r="AR65" s="125" t="s">
        <v>590</v>
      </c>
      <c r="AS65" s="125" t="s">
        <v>518</v>
      </c>
      <c r="AT65" s="125" t="s">
        <v>626</v>
      </c>
      <c r="AU65" s="125" t="s">
        <v>613</v>
      </c>
    </row>
    <row r="66" spans="1:47" ht="16.2" thickTop="1" x14ac:dyDescent="0.3">
      <c r="A66" s="76"/>
      <c r="J66" s="82"/>
      <c r="K66" s="82"/>
      <c r="L66" s="82"/>
      <c r="M66" s="82"/>
      <c r="N66" s="82"/>
      <c r="O66" s="82"/>
      <c r="P66" s="104"/>
      <c r="Q66" s="105"/>
    </row>
    <row r="67" spans="1:47" ht="13.8" thickBot="1" x14ac:dyDescent="0.3">
      <c r="A67" s="82"/>
      <c r="B67" s="76"/>
      <c r="C67" s="76"/>
      <c r="D67" s="76"/>
      <c r="E67" s="76"/>
      <c r="F67" s="76"/>
      <c r="G67" s="76"/>
      <c r="H67" s="76"/>
      <c r="I67" s="76"/>
      <c r="J67" s="76"/>
      <c r="K67" s="76"/>
      <c r="L67" s="76"/>
      <c r="M67" s="76"/>
      <c r="N67" s="76"/>
      <c r="O67" s="76"/>
      <c r="P67" s="76"/>
      <c r="Q67" s="76"/>
      <c r="R67" s="76"/>
      <c r="S67" s="76"/>
      <c r="T67" s="76"/>
      <c r="U67" s="76"/>
      <c r="V67" s="76"/>
      <c r="W67" s="76"/>
      <c r="X67" s="76"/>
      <c r="Y67" s="76"/>
      <c r="AA67" s="125" t="s">
        <v>591</v>
      </c>
      <c r="AB67" s="125" t="s">
        <v>578</v>
      </c>
      <c r="AC67" s="125" t="s">
        <v>587</v>
      </c>
    </row>
    <row r="68" spans="1:47" ht="15.6" thickTop="1" x14ac:dyDescent="0.25">
      <c r="Z68" s="82"/>
      <c r="AA68" s="126"/>
      <c r="AB68" s="126"/>
      <c r="AC68" s="126"/>
      <c r="AD68" s="126"/>
      <c r="AE68" s="126"/>
      <c r="AF68" s="126"/>
      <c r="AG68" s="126"/>
      <c r="AH68" s="126"/>
      <c r="AI68" s="126"/>
      <c r="AJ68" s="126"/>
      <c r="AK68" s="126"/>
      <c r="AL68" s="126"/>
      <c r="AM68" s="126"/>
      <c r="AN68" s="126"/>
      <c r="AO68" s="77"/>
      <c r="AP68" s="65"/>
    </row>
    <row r="69" spans="1:47" ht="22.8" x14ac:dyDescent="0.4">
      <c r="A69" s="233" t="s">
        <v>583</v>
      </c>
      <c r="B69" s="233"/>
      <c r="C69" s="233"/>
      <c r="D69" s="233"/>
      <c r="E69" s="233"/>
      <c r="F69" s="233"/>
      <c r="Z69" s="82"/>
      <c r="AA69" s="126"/>
      <c r="AB69" s="126"/>
      <c r="AC69" s="126"/>
      <c r="AD69" s="126"/>
      <c r="AE69" s="126"/>
      <c r="AF69" s="126"/>
      <c r="AG69" s="126"/>
      <c r="AH69" s="126"/>
      <c r="AI69" s="126"/>
      <c r="AJ69" s="126"/>
      <c r="AK69" s="126"/>
      <c r="AL69" s="126"/>
      <c r="AM69" s="126"/>
      <c r="AN69" s="126"/>
      <c r="AO69" s="77"/>
      <c r="AP69" s="65"/>
    </row>
    <row r="70" spans="1:47" ht="16.2" thickBot="1" x14ac:dyDescent="0.35">
      <c r="G70" s="108"/>
      <c r="H70" s="108"/>
      <c r="I70" s="108"/>
      <c r="J70" s="108"/>
      <c r="K70" s="108"/>
      <c r="L70" s="108"/>
      <c r="M70" s="108"/>
      <c r="N70" s="108"/>
      <c r="O70" s="109"/>
      <c r="P70" s="109"/>
      <c r="Q70" s="104"/>
      <c r="R70" s="104"/>
      <c r="S70" s="104"/>
      <c r="T70" s="104"/>
      <c r="U70" s="104"/>
      <c r="V70" s="104"/>
      <c r="W70" s="104"/>
      <c r="X70" s="104"/>
      <c r="Y70" s="104"/>
      <c r="Z70" s="82"/>
      <c r="AA70" s="126"/>
      <c r="AB70" s="126"/>
      <c r="AC70" s="126"/>
      <c r="AD70" s="126"/>
      <c r="AE70" s="126"/>
      <c r="AF70" s="126"/>
      <c r="AG70" s="126"/>
      <c r="AH70" s="126"/>
      <c r="AI70" s="126"/>
      <c r="AJ70" s="126"/>
      <c r="AK70" s="126"/>
      <c r="AL70" s="126"/>
      <c r="AM70" s="126"/>
      <c r="AN70" s="126"/>
      <c r="AO70" s="77"/>
      <c r="AP70" s="65"/>
    </row>
    <row r="71" spans="1:47" ht="100.2" customHeight="1" thickBot="1" x14ac:dyDescent="0.55000000000000004">
      <c r="A71" s="214" t="str">
        <f>CONCATENATE(AH4,"                ",AG4)</f>
        <v>SABEL                groot wapen</v>
      </c>
      <c r="B71" s="215"/>
      <c r="C71" s="216" t="str">
        <f>CONCATENATE(AE4,"                     ", AF4)</f>
        <v>LOPER                      gemengd elek./mech.</v>
      </c>
      <c r="D71" s="217"/>
      <c r="E71" s="218"/>
      <c r="F71" s="218"/>
      <c r="G71" s="218"/>
      <c r="H71" s="218"/>
      <c r="I71" s="218"/>
      <c r="J71" s="218"/>
      <c r="K71" s="219"/>
      <c r="L71" s="220">
        <f>AC4</f>
        <v>0</v>
      </c>
      <c r="M71" s="221"/>
      <c r="N71" s="42" t="s">
        <v>503</v>
      </c>
      <c r="O71" s="222" t="s">
        <v>504</v>
      </c>
      <c r="P71" s="223"/>
      <c r="Q71" s="222" t="s">
        <v>505</v>
      </c>
      <c r="R71" s="223"/>
      <c r="S71" s="222" t="s">
        <v>506</v>
      </c>
      <c r="T71" s="223"/>
      <c r="U71" s="234" t="s">
        <v>584</v>
      </c>
      <c r="V71" s="235"/>
      <c r="W71" s="130"/>
      <c r="X71" s="209" t="s">
        <v>419</v>
      </c>
      <c r="Y71" s="132"/>
      <c r="AO71" s="94"/>
      <c r="AP71" s="54"/>
    </row>
    <row r="72" spans="1:47" ht="16.2" thickBot="1" x14ac:dyDescent="0.35">
      <c r="A72" s="49" t="s">
        <v>508</v>
      </c>
      <c r="B72" s="113"/>
      <c r="C72" s="45">
        <v>1</v>
      </c>
      <c r="D72" s="46">
        <v>2</v>
      </c>
      <c r="E72" s="46">
        <v>3</v>
      </c>
      <c r="F72" s="46">
        <v>4</v>
      </c>
      <c r="G72" s="46">
        <v>5</v>
      </c>
      <c r="H72" s="46">
        <v>6</v>
      </c>
      <c r="I72" s="46">
        <v>7</v>
      </c>
      <c r="J72" s="46">
        <v>8</v>
      </c>
      <c r="K72" s="46">
        <v>9</v>
      </c>
      <c r="L72" s="47">
        <v>10</v>
      </c>
      <c r="M72" s="47">
        <v>11</v>
      </c>
      <c r="N72" s="48">
        <v>12</v>
      </c>
      <c r="O72" s="49" t="s">
        <v>509</v>
      </c>
      <c r="P72" s="50" t="s">
        <v>510</v>
      </c>
      <c r="Q72" s="51" t="s">
        <v>509</v>
      </c>
      <c r="R72" s="48" t="s">
        <v>510</v>
      </c>
      <c r="S72" s="51" t="s">
        <v>509</v>
      </c>
      <c r="T72" s="52" t="s">
        <v>510</v>
      </c>
      <c r="U72" s="236"/>
      <c r="V72" s="237"/>
      <c r="W72" s="131"/>
      <c r="X72" s="131"/>
      <c r="Y72" s="131"/>
    </row>
    <row r="73" spans="1:47" ht="15.6" x14ac:dyDescent="0.3">
      <c r="A73" s="1"/>
      <c r="B73" s="116">
        <v>1</v>
      </c>
      <c r="C73" s="56"/>
      <c r="D73" s="57"/>
      <c r="E73" s="57"/>
      <c r="F73" s="57"/>
      <c r="G73" s="57"/>
      <c r="H73" s="57"/>
      <c r="I73" s="57"/>
      <c r="J73" s="58"/>
      <c r="K73" s="58"/>
      <c r="L73" s="58"/>
      <c r="M73" s="58"/>
      <c r="N73" s="59"/>
      <c r="O73" s="60"/>
      <c r="P73" s="61"/>
      <c r="Q73" s="60"/>
      <c r="R73" s="61"/>
      <c r="S73" s="60"/>
      <c r="T73" s="62"/>
      <c r="U73" s="224"/>
      <c r="V73" s="225"/>
    </row>
    <row r="74" spans="1:47" ht="15.6" x14ac:dyDescent="0.3">
      <c r="A74" s="1"/>
      <c r="B74" s="117">
        <v>2</v>
      </c>
      <c r="C74" s="67"/>
      <c r="D74" s="68"/>
      <c r="E74" s="69"/>
      <c r="F74" s="69"/>
      <c r="G74" s="69"/>
      <c r="H74" s="69"/>
      <c r="I74" s="69"/>
      <c r="J74" s="70"/>
      <c r="K74" s="70"/>
      <c r="L74" s="70"/>
      <c r="M74" s="70"/>
      <c r="N74" s="59"/>
      <c r="O74" s="60"/>
      <c r="P74" s="61"/>
      <c r="Q74" s="60"/>
      <c r="R74" s="61"/>
      <c r="S74" s="60"/>
      <c r="T74" s="62"/>
      <c r="U74" s="224"/>
      <c r="V74" s="225"/>
    </row>
    <row r="75" spans="1:47" ht="15.6" x14ac:dyDescent="0.3">
      <c r="A75" s="1"/>
      <c r="B75" s="116">
        <v>3</v>
      </c>
      <c r="C75" s="67"/>
      <c r="D75" s="69"/>
      <c r="E75" s="68"/>
      <c r="F75" s="69"/>
      <c r="G75" s="69"/>
      <c r="H75" s="69"/>
      <c r="I75" s="69"/>
      <c r="J75" s="70"/>
      <c r="K75" s="70"/>
      <c r="L75" s="70"/>
      <c r="M75" s="70"/>
      <c r="N75" s="59"/>
      <c r="O75" s="60"/>
      <c r="P75" s="61"/>
      <c r="Q75" s="60"/>
      <c r="R75" s="61"/>
      <c r="S75" s="60"/>
      <c r="T75" s="62"/>
      <c r="U75" s="224"/>
      <c r="V75" s="225"/>
    </row>
    <row r="76" spans="1:47" ht="15.6" x14ac:dyDescent="0.3">
      <c r="A76" s="1"/>
      <c r="B76" s="117">
        <v>4</v>
      </c>
      <c r="C76" s="67"/>
      <c r="D76" s="69"/>
      <c r="E76" s="69"/>
      <c r="F76" s="68"/>
      <c r="G76" s="69"/>
      <c r="H76" s="69"/>
      <c r="I76" s="69"/>
      <c r="J76" s="70"/>
      <c r="K76" s="70"/>
      <c r="L76" s="70"/>
      <c r="M76" s="70"/>
      <c r="N76" s="59"/>
      <c r="O76" s="60"/>
      <c r="P76" s="61"/>
      <c r="Q76" s="60"/>
      <c r="R76" s="61"/>
      <c r="S76" s="60"/>
      <c r="T76" s="62"/>
      <c r="U76" s="224"/>
      <c r="V76" s="225"/>
    </row>
    <row r="77" spans="1:47" ht="15.6" x14ac:dyDescent="0.3">
      <c r="A77" s="1"/>
      <c r="B77" s="116">
        <v>5</v>
      </c>
      <c r="C77" s="67"/>
      <c r="D77" s="69"/>
      <c r="E77" s="69"/>
      <c r="F77" s="69"/>
      <c r="G77" s="68"/>
      <c r="H77" s="69"/>
      <c r="I77" s="69"/>
      <c r="J77" s="70"/>
      <c r="K77" s="70"/>
      <c r="L77" s="70"/>
      <c r="M77" s="70"/>
      <c r="N77" s="59"/>
      <c r="O77" s="60"/>
      <c r="P77" s="61"/>
      <c r="Q77" s="60"/>
      <c r="R77" s="61"/>
      <c r="S77" s="60"/>
      <c r="T77" s="62"/>
      <c r="U77" s="224"/>
      <c r="V77" s="225"/>
    </row>
    <row r="78" spans="1:47" ht="15.6" x14ac:dyDescent="0.3">
      <c r="A78" s="1"/>
      <c r="B78" s="117">
        <v>6</v>
      </c>
      <c r="C78" s="67"/>
      <c r="D78" s="69"/>
      <c r="E78" s="69"/>
      <c r="F78" s="69"/>
      <c r="G78" s="69"/>
      <c r="H78" s="68"/>
      <c r="I78" s="69"/>
      <c r="J78" s="70"/>
      <c r="K78" s="70"/>
      <c r="L78" s="70"/>
      <c r="M78" s="70"/>
      <c r="N78" s="59"/>
      <c r="O78" s="60"/>
      <c r="P78" s="61"/>
      <c r="Q78" s="60"/>
      <c r="R78" s="61"/>
      <c r="S78" s="60"/>
      <c r="T78" s="62"/>
      <c r="U78" s="224"/>
      <c r="V78" s="225"/>
    </row>
    <row r="79" spans="1:47" ht="15.6" x14ac:dyDescent="0.3">
      <c r="A79" s="1"/>
      <c r="B79" s="116">
        <v>7</v>
      </c>
      <c r="C79" s="67"/>
      <c r="D79" s="69"/>
      <c r="E79" s="69"/>
      <c r="F79" s="69"/>
      <c r="G79" s="69"/>
      <c r="H79" s="69"/>
      <c r="I79" s="68"/>
      <c r="J79" s="83"/>
      <c r="K79" s="83"/>
      <c r="L79" s="83"/>
      <c r="M79" s="83"/>
      <c r="N79" s="84"/>
      <c r="O79" s="60"/>
      <c r="P79" s="61"/>
      <c r="Q79" s="60"/>
      <c r="R79" s="61"/>
      <c r="S79" s="60"/>
      <c r="T79" s="62"/>
      <c r="U79" s="224"/>
      <c r="V79" s="225"/>
    </row>
    <row r="80" spans="1:47" ht="15.6" x14ac:dyDescent="0.3">
      <c r="A80" s="1"/>
      <c r="B80" s="117">
        <v>8</v>
      </c>
      <c r="C80" s="87"/>
      <c r="D80" s="88"/>
      <c r="E80" s="88"/>
      <c r="F80" s="88"/>
      <c r="G80" s="88"/>
      <c r="H80" s="88"/>
      <c r="I80" s="89"/>
      <c r="J80" s="90"/>
      <c r="K80" s="91"/>
      <c r="L80" s="91"/>
      <c r="M80" s="91"/>
      <c r="N80" s="84"/>
      <c r="O80" s="60"/>
      <c r="P80" s="61"/>
      <c r="Q80" s="60"/>
      <c r="R80" s="61"/>
      <c r="S80" s="60"/>
      <c r="T80" s="62"/>
      <c r="U80" s="224"/>
      <c r="V80" s="225"/>
    </row>
    <row r="81" spans="1:29" ht="15.6" x14ac:dyDescent="0.3">
      <c r="A81" s="29"/>
      <c r="B81" s="116">
        <v>9</v>
      </c>
      <c r="C81" s="87"/>
      <c r="D81" s="88"/>
      <c r="E81" s="88"/>
      <c r="F81" s="88"/>
      <c r="G81" s="88"/>
      <c r="H81" s="88"/>
      <c r="I81" s="89"/>
      <c r="J81" s="91"/>
      <c r="K81" s="90"/>
      <c r="L81" s="91"/>
      <c r="M81" s="91"/>
      <c r="N81" s="84"/>
      <c r="O81" s="60"/>
      <c r="P81" s="61"/>
      <c r="Q81" s="60"/>
      <c r="R81" s="61"/>
      <c r="S81" s="60"/>
      <c r="T81" s="62"/>
      <c r="U81" s="224"/>
      <c r="V81" s="225"/>
    </row>
    <row r="82" spans="1:29" ht="15.6" x14ac:dyDescent="0.3">
      <c r="A82" s="161"/>
      <c r="B82" s="117">
        <v>10</v>
      </c>
      <c r="C82" s="87"/>
      <c r="D82" s="88"/>
      <c r="E82" s="88"/>
      <c r="F82" s="88"/>
      <c r="G82" s="88"/>
      <c r="H82" s="88"/>
      <c r="I82" s="89"/>
      <c r="J82" s="91"/>
      <c r="K82" s="91"/>
      <c r="L82" s="90"/>
      <c r="M82" s="91"/>
      <c r="N82" s="84"/>
      <c r="O82" s="60"/>
      <c r="P82" s="61"/>
      <c r="Q82" s="60"/>
      <c r="R82" s="61"/>
      <c r="S82" s="60"/>
      <c r="T82" s="62"/>
      <c r="U82" s="224"/>
      <c r="V82" s="225"/>
    </row>
    <row r="83" spans="1:29" ht="15.6" x14ac:dyDescent="0.3">
      <c r="A83" s="161"/>
      <c r="B83" s="116">
        <v>11</v>
      </c>
      <c r="C83" s="87"/>
      <c r="D83" s="88"/>
      <c r="E83" s="88"/>
      <c r="F83" s="88"/>
      <c r="G83" s="88"/>
      <c r="H83" s="88"/>
      <c r="I83" s="89"/>
      <c r="J83" s="91"/>
      <c r="K83" s="91"/>
      <c r="L83" s="91"/>
      <c r="M83" s="90"/>
      <c r="N83" s="84"/>
      <c r="O83" s="60"/>
      <c r="P83" s="61"/>
      <c r="Q83" s="60"/>
      <c r="R83" s="61"/>
      <c r="S83" s="60"/>
      <c r="T83" s="62"/>
      <c r="U83" s="224"/>
      <c r="V83" s="225"/>
    </row>
    <row r="84" spans="1:29" ht="16.2" thickBot="1" x14ac:dyDescent="0.35">
      <c r="A84" s="161"/>
      <c r="B84" s="122">
        <v>12</v>
      </c>
      <c r="C84" s="97"/>
      <c r="D84" s="98"/>
      <c r="E84" s="98"/>
      <c r="F84" s="98"/>
      <c r="G84" s="98"/>
      <c r="H84" s="98"/>
      <c r="I84" s="98"/>
      <c r="J84" s="99"/>
      <c r="K84" s="99"/>
      <c r="L84" s="99"/>
      <c r="M84" s="99"/>
      <c r="N84" s="100"/>
      <c r="O84" s="101"/>
      <c r="P84" s="102"/>
      <c r="Q84" s="101"/>
      <c r="R84" s="102"/>
      <c r="S84" s="101"/>
      <c r="T84" s="103"/>
      <c r="U84" s="231"/>
      <c r="V84" s="232"/>
    </row>
    <row r="85" spans="1:29" ht="15.75" customHeight="1" x14ac:dyDescent="0.25"/>
    <row r="86" spans="1:29" ht="15.75" customHeight="1" x14ac:dyDescent="0.3">
      <c r="A86" s="76" t="s">
        <v>556</v>
      </c>
      <c r="B86" s="107"/>
      <c r="C86" s="108"/>
      <c r="D86" s="108"/>
      <c r="E86" s="108"/>
      <c r="F86" s="108"/>
      <c r="G86" s="108"/>
      <c r="H86" s="108"/>
      <c r="I86" s="108"/>
      <c r="J86" s="108"/>
      <c r="K86" s="108"/>
      <c r="L86" s="108"/>
      <c r="M86" s="108"/>
      <c r="N86" s="108"/>
      <c r="O86" s="109"/>
      <c r="P86" s="109"/>
      <c r="Q86" s="104"/>
      <c r="R86" s="104"/>
      <c r="S86" s="104"/>
      <c r="T86" s="104"/>
      <c r="U86" s="104"/>
      <c r="V86" s="104"/>
      <c r="W86" s="104"/>
      <c r="X86" s="104"/>
      <c r="Y86" s="104"/>
    </row>
    <row r="87" spans="1:29" ht="15.75" customHeight="1" x14ac:dyDescent="0.25">
      <c r="A87" s="111"/>
      <c r="B87" s="75"/>
      <c r="C87" s="75"/>
      <c r="D87" s="75"/>
      <c r="E87" s="75"/>
      <c r="F87" s="75"/>
      <c r="G87" s="75"/>
      <c r="H87" s="75"/>
      <c r="I87" s="75"/>
      <c r="J87" s="75"/>
      <c r="K87" s="75"/>
      <c r="L87" s="82"/>
      <c r="M87" s="76"/>
      <c r="N87" s="76"/>
      <c r="O87" s="76"/>
      <c r="P87" s="77"/>
      <c r="Q87" s="65"/>
      <c r="AC87" s="76"/>
    </row>
    <row r="88" spans="1:29" ht="15.75" customHeight="1" x14ac:dyDescent="0.25">
      <c r="A88" s="76"/>
      <c r="B88" s="76"/>
      <c r="C88" s="75"/>
      <c r="D88" s="75"/>
      <c r="E88" s="75"/>
      <c r="F88" s="75"/>
      <c r="G88" s="75"/>
      <c r="H88" s="75"/>
      <c r="I88" s="75"/>
      <c r="J88" s="75"/>
      <c r="K88" s="75"/>
      <c r="L88" s="75"/>
      <c r="M88" s="76"/>
      <c r="N88" s="76"/>
      <c r="O88" s="76"/>
      <c r="P88" s="77"/>
      <c r="Q88" s="65"/>
      <c r="AC88" s="76"/>
    </row>
    <row r="89" spans="1:29" ht="15.75" customHeight="1" x14ac:dyDescent="0.3">
      <c r="A89" s="76"/>
      <c r="B89" s="76"/>
      <c r="C89" s="76"/>
      <c r="D89" s="76"/>
      <c r="E89" s="76"/>
      <c r="F89" s="76"/>
      <c r="G89" s="76"/>
      <c r="H89" s="76"/>
      <c r="I89" s="76"/>
      <c r="J89" s="76"/>
      <c r="K89" s="76"/>
      <c r="L89" s="76"/>
      <c r="M89" s="76"/>
      <c r="N89" s="76"/>
      <c r="O89" s="76"/>
      <c r="P89" s="104"/>
      <c r="Q89" s="105"/>
      <c r="AC89" s="76"/>
    </row>
    <row r="90" spans="1:29" ht="15.75" customHeight="1" x14ac:dyDescent="0.3">
      <c r="A90" s="76"/>
      <c r="J90" s="82"/>
      <c r="K90" s="82"/>
      <c r="L90" s="82"/>
      <c r="M90" s="82"/>
      <c r="N90" s="82"/>
      <c r="O90" s="82"/>
      <c r="P90" s="104"/>
      <c r="Q90" s="105"/>
      <c r="AA90" s="76"/>
      <c r="AB90" s="76"/>
      <c r="AC90" s="76"/>
    </row>
    <row r="91" spans="1:29" ht="15.75" customHeight="1" x14ac:dyDescent="0.25">
      <c r="A91" s="82"/>
      <c r="B91" s="76"/>
      <c r="C91" s="76"/>
      <c r="D91" s="76"/>
      <c r="E91" s="76"/>
      <c r="F91" s="76"/>
      <c r="G91" s="76"/>
      <c r="H91" s="76"/>
      <c r="I91" s="76"/>
      <c r="J91" s="76"/>
      <c r="K91" s="76"/>
      <c r="L91" s="76"/>
      <c r="M91" s="76"/>
      <c r="N91" s="76"/>
      <c r="O91" s="76"/>
      <c r="P91" s="76"/>
      <c r="Q91" s="76"/>
      <c r="R91" s="76"/>
      <c r="S91" s="76"/>
      <c r="T91" s="76"/>
      <c r="U91" s="76"/>
      <c r="V91" s="76"/>
      <c r="W91" s="76"/>
      <c r="X91" s="76"/>
      <c r="Y91" s="76"/>
      <c r="AA91" s="76"/>
      <c r="AB91" s="76"/>
      <c r="AC91" s="76"/>
    </row>
    <row r="92" spans="1:29" ht="15.75" customHeight="1" x14ac:dyDescent="0.25">
      <c r="AA92" s="76"/>
      <c r="AC92" s="76"/>
    </row>
    <row r="93" spans="1:29" ht="15.75" customHeight="1" x14ac:dyDescent="0.25">
      <c r="B93" s="76"/>
      <c r="C93" s="76"/>
      <c r="D93" s="76"/>
      <c r="AA93" s="76"/>
      <c r="AB93" s="76"/>
      <c r="AC93" s="76"/>
    </row>
    <row r="94" spans="1:29" ht="22.8" x14ac:dyDescent="0.4">
      <c r="A94" s="233" t="s">
        <v>583</v>
      </c>
      <c r="B94" s="233"/>
      <c r="C94" s="233"/>
      <c r="D94" s="233"/>
      <c r="E94" s="233"/>
      <c r="F94" s="233"/>
      <c r="G94" s="108"/>
      <c r="H94" s="108"/>
      <c r="I94" s="108"/>
      <c r="J94" s="108"/>
      <c r="K94" s="108"/>
      <c r="L94" s="108"/>
      <c r="M94" s="108"/>
      <c r="N94" s="108"/>
      <c r="O94" s="109"/>
      <c r="P94" s="109"/>
      <c r="Q94" s="104"/>
      <c r="R94" s="104"/>
      <c r="S94" s="104"/>
      <c r="T94" s="104"/>
      <c r="U94" s="104"/>
      <c r="AA94" s="76"/>
      <c r="AB94" s="76"/>
      <c r="AC94" s="76"/>
    </row>
    <row r="95" spans="1:29" ht="23.4" thickBot="1" x14ac:dyDescent="0.45">
      <c r="A95" s="112"/>
      <c r="B95" s="112"/>
      <c r="C95" s="112"/>
      <c r="D95" s="112"/>
      <c r="E95" s="112"/>
      <c r="F95" s="112"/>
      <c r="G95" s="108"/>
      <c r="H95" s="108"/>
      <c r="I95" s="108"/>
      <c r="J95" s="108"/>
      <c r="K95" s="108"/>
      <c r="L95" s="108"/>
      <c r="M95" s="108"/>
      <c r="N95" s="108"/>
      <c r="O95" s="109"/>
      <c r="P95" s="109"/>
      <c r="Q95" s="104"/>
      <c r="R95" s="104"/>
      <c r="S95" s="104"/>
      <c r="T95" s="104"/>
      <c r="U95" s="104"/>
      <c r="AA95" s="76"/>
      <c r="AB95" s="76"/>
      <c r="AC95" s="76"/>
    </row>
    <row r="96" spans="1:29" ht="100.2" customHeight="1" thickBot="1" x14ac:dyDescent="0.55000000000000004">
      <c r="A96" s="214" t="str">
        <f>CONCATENATE(AH5,"                ",AG5)</f>
        <v>SABEL                groot wapen</v>
      </c>
      <c r="B96" s="215"/>
      <c r="C96" s="216" t="str">
        <f>CONCATENATE(AE5,"                     ", AF5)</f>
        <v>LOPER                      gemengd elek./mech.</v>
      </c>
      <c r="D96" s="217"/>
      <c r="E96" s="218"/>
      <c r="F96" s="218"/>
      <c r="G96" s="218"/>
      <c r="H96" s="218"/>
      <c r="I96" s="218"/>
      <c r="J96" s="218"/>
      <c r="K96" s="219"/>
      <c r="L96" s="220">
        <f>AC5</f>
        <v>0</v>
      </c>
      <c r="M96" s="221"/>
      <c r="N96" s="42" t="s">
        <v>503</v>
      </c>
      <c r="O96" s="222" t="s">
        <v>504</v>
      </c>
      <c r="P96" s="223"/>
      <c r="Q96" s="222" t="s">
        <v>505</v>
      </c>
      <c r="R96" s="223"/>
      <c r="S96" s="222" t="s">
        <v>506</v>
      </c>
      <c r="T96" s="223"/>
      <c r="U96" s="234" t="s">
        <v>584</v>
      </c>
      <c r="V96" s="235"/>
      <c r="W96" s="132"/>
      <c r="X96" s="209" t="s">
        <v>426</v>
      </c>
      <c r="Y96" s="132"/>
    </row>
    <row r="97" spans="1:47" ht="16.2" thickBot="1" x14ac:dyDescent="0.35">
      <c r="A97" s="49" t="s">
        <v>508</v>
      </c>
      <c r="B97" s="113"/>
      <c r="C97" s="45">
        <v>1</v>
      </c>
      <c r="D97" s="46">
        <v>2</v>
      </c>
      <c r="E97" s="46">
        <v>3</v>
      </c>
      <c r="F97" s="46">
        <v>4</v>
      </c>
      <c r="G97" s="46">
        <v>5</v>
      </c>
      <c r="H97" s="46">
        <v>6</v>
      </c>
      <c r="I97" s="46">
        <v>7</v>
      </c>
      <c r="J97" s="46">
        <v>8</v>
      </c>
      <c r="K97" s="46">
        <v>9</v>
      </c>
      <c r="L97" s="47">
        <v>10</v>
      </c>
      <c r="M97" s="47">
        <v>11</v>
      </c>
      <c r="N97" s="48">
        <v>12</v>
      </c>
      <c r="O97" s="49" t="s">
        <v>509</v>
      </c>
      <c r="P97" s="50" t="s">
        <v>510</v>
      </c>
      <c r="Q97" s="51" t="s">
        <v>509</v>
      </c>
      <c r="R97" s="48" t="s">
        <v>510</v>
      </c>
      <c r="S97" s="51" t="s">
        <v>509</v>
      </c>
      <c r="T97" s="52" t="s">
        <v>510</v>
      </c>
      <c r="U97" s="236"/>
      <c r="V97" s="237"/>
      <c r="W97" s="131"/>
      <c r="X97" s="131"/>
      <c r="Y97" s="131"/>
      <c r="Z97" s="238"/>
      <c r="AA97" s="238"/>
      <c r="AB97" s="238"/>
      <c r="AC97" s="238"/>
      <c r="AD97" s="238"/>
      <c r="AE97" s="238"/>
      <c r="AF97" s="238"/>
      <c r="AG97" s="238"/>
      <c r="AH97" s="238"/>
      <c r="AI97" s="238"/>
      <c r="AJ97" s="238"/>
      <c r="AK97" s="238"/>
      <c r="AL97" s="238"/>
      <c r="AM97" s="238"/>
      <c r="AN97" s="238"/>
      <c r="AO97" s="238"/>
      <c r="AP97" s="238"/>
    </row>
    <row r="98" spans="1:47" ht="15.6" x14ac:dyDescent="0.3">
      <c r="A98" s="1"/>
      <c r="B98" s="116">
        <v>1</v>
      </c>
      <c r="C98" s="56"/>
      <c r="D98" s="57"/>
      <c r="E98" s="57"/>
      <c r="F98" s="57"/>
      <c r="G98" s="57"/>
      <c r="H98" s="57"/>
      <c r="I98" s="57"/>
      <c r="J98" s="58"/>
      <c r="K98" s="58"/>
      <c r="L98" s="58"/>
      <c r="M98" s="58"/>
      <c r="N98" s="59"/>
      <c r="O98" s="60"/>
      <c r="P98" s="61"/>
      <c r="Q98" s="60"/>
      <c r="R98" s="61"/>
      <c r="S98" s="60"/>
      <c r="T98" s="62"/>
      <c r="U98" s="224"/>
      <c r="V98" s="225"/>
      <c r="Z98" s="53"/>
      <c r="AA98" s="54"/>
      <c r="AB98" s="54"/>
      <c r="AC98" s="54"/>
      <c r="AD98" s="54"/>
      <c r="AE98" s="54"/>
      <c r="AF98" s="54"/>
      <c r="AG98" s="54"/>
      <c r="AH98" s="54"/>
      <c r="AI98" s="54"/>
      <c r="AJ98" s="54"/>
      <c r="AK98" s="54"/>
      <c r="AL98" s="54"/>
      <c r="AM98" s="54"/>
      <c r="AN98" s="54"/>
      <c r="AO98" s="54"/>
      <c r="AP98" s="54"/>
    </row>
    <row r="99" spans="1:47" ht="15.6" x14ac:dyDescent="0.3">
      <c r="A99" s="1"/>
      <c r="B99" s="117">
        <v>2</v>
      </c>
      <c r="C99" s="67"/>
      <c r="D99" s="68"/>
      <c r="E99" s="69"/>
      <c r="F99" s="69"/>
      <c r="G99" s="69"/>
      <c r="H99" s="69"/>
      <c r="I99" s="69"/>
      <c r="J99" s="70"/>
      <c r="K99" s="70"/>
      <c r="L99" s="70"/>
      <c r="M99" s="70"/>
      <c r="N99" s="59"/>
      <c r="O99" s="60"/>
      <c r="P99" s="61"/>
      <c r="Q99" s="60"/>
      <c r="R99" s="61"/>
      <c r="S99" s="60"/>
      <c r="T99" s="62"/>
      <c r="U99" s="224"/>
      <c r="V99" s="225"/>
      <c r="Z99" s="53"/>
      <c r="AA99" s="54"/>
      <c r="AB99" s="54"/>
      <c r="AC99" s="54"/>
      <c r="AD99" s="54"/>
      <c r="AE99" s="54"/>
      <c r="AF99" s="54"/>
      <c r="AG99" s="54"/>
      <c r="AH99" s="63"/>
      <c r="AI99" s="63"/>
      <c r="AJ99" s="64"/>
      <c r="AK99" s="63"/>
      <c r="AL99" s="63"/>
      <c r="AM99" s="63"/>
      <c r="AN99" s="65"/>
      <c r="AO99" s="65"/>
      <c r="AP99" s="65"/>
    </row>
    <row r="100" spans="1:47" ht="15.6" x14ac:dyDescent="0.3">
      <c r="A100" s="1"/>
      <c r="B100" s="116">
        <v>3</v>
      </c>
      <c r="C100" s="67"/>
      <c r="D100" s="69"/>
      <c r="E100" s="68"/>
      <c r="F100" s="69"/>
      <c r="G100" s="69"/>
      <c r="H100" s="69"/>
      <c r="I100" s="69"/>
      <c r="J100" s="70"/>
      <c r="K100" s="70"/>
      <c r="L100" s="70"/>
      <c r="M100" s="70"/>
      <c r="N100" s="59"/>
      <c r="O100" s="60"/>
      <c r="P100" s="61"/>
      <c r="Q100" s="60"/>
      <c r="R100" s="61"/>
      <c r="S100" s="60"/>
      <c r="T100" s="62"/>
      <c r="U100" s="224"/>
      <c r="V100" s="225"/>
      <c r="Z100" s="111"/>
      <c r="AA100" s="75"/>
      <c r="AB100" s="75"/>
      <c r="AC100" s="75"/>
      <c r="AD100" s="75"/>
      <c r="AE100" s="75"/>
      <c r="AF100" s="75"/>
      <c r="AG100" s="75"/>
      <c r="AH100" s="75"/>
      <c r="AI100" s="75"/>
      <c r="AJ100" s="75"/>
      <c r="AK100" s="75"/>
      <c r="AL100" s="75"/>
      <c r="AM100" s="75"/>
      <c r="AN100" s="76"/>
      <c r="AO100" s="77"/>
      <c r="AP100" s="65"/>
    </row>
    <row r="101" spans="1:47" ht="15.6" x14ac:dyDescent="0.3">
      <c r="A101" s="1"/>
      <c r="B101" s="117">
        <v>4</v>
      </c>
      <c r="C101" s="67"/>
      <c r="D101" s="69"/>
      <c r="E101" s="69"/>
      <c r="F101" s="68"/>
      <c r="G101" s="69"/>
      <c r="H101" s="69"/>
      <c r="I101" s="69"/>
      <c r="J101" s="70"/>
      <c r="K101" s="70"/>
      <c r="L101" s="70"/>
      <c r="M101" s="70"/>
      <c r="N101" s="59"/>
      <c r="O101" s="60"/>
      <c r="P101" s="61"/>
      <c r="Q101" s="60"/>
      <c r="R101" s="61"/>
      <c r="S101" s="60"/>
      <c r="T101" s="62"/>
      <c r="U101" s="224"/>
      <c r="V101" s="225"/>
      <c r="Z101" s="78"/>
      <c r="AA101" s="79"/>
      <c r="AB101" s="75"/>
      <c r="AC101" s="75"/>
      <c r="AD101" s="75"/>
      <c r="AE101" s="75"/>
      <c r="AF101" s="75"/>
      <c r="AG101" s="75"/>
      <c r="AH101" s="75"/>
      <c r="AI101" s="75"/>
      <c r="AJ101" s="75"/>
      <c r="AK101" s="75"/>
      <c r="AL101" s="75"/>
      <c r="AM101" s="75"/>
      <c r="AN101" s="76"/>
      <c r="AO101" s="77"/>
      <c r="AP101" s="65"/>
    </row>
    <row r="102" spans="1:47" ht="15.6" x14ac:dyDescent="0.3">
      <c r="A102" s="1"/>
      <c r="B102" s="116">
        <v>5</v>
      </c>
      <c r="C102" s="67"/>
      <c r="D102" s="69"/>
      <c r="E102" s="69"/>
      <c r="F102" s="69"/>
      <c r="G102" s="68"/>
      <c r="H102" s="69"/>
      <c r="I102" s="69"/>
      <c r="J102" s="70"/>
      <c r="K102" s="70"/>
      <c r="L102" s="70"/>
      <c r="M102" s="70"/>
      <c r="N102" s="59"/>
      <c r="O102" s="60"/>
      <c r="P102" s="61"/>
      <c r="Q102" s="60"/>
      <c r="R102" s="61"/>
      <c r="S102" s="60"/>
      <c r="T102" s="62"/>
      <c r="U102" s="224"/>
      <c r="V102" s="225"/>
      <c r="Z102" s="111"/>
      <c r="AA102" s="75"/>
      <c r="AB102" s="75"/>
      <c r="AC102" s="75"/>
      <c r="AD102" s="75"/>
      <c r="AE102" s="75"/>
      <c r="AF102" s="75"/>
      <c r="AG102" s="75"/>
      <c r="AH102" s="75"/>
      <c r="AI102" s="75"/>
      <c r="AJ102" s="75"/>
      <c r="AK102" s="82"/>
      <c r="AL102" s="76"/>
      <c r="AM102" s="76"/>
      <c r="AN102" s="76"/>
      <c r="AO102" s="77"/>
      <c r="AP102" s="65"/>
    </row>
    <row r="103" spans="1:47" ht="15.6" x14ac:dyDescent="0.3">
      <c r="B103" s="117">
        <v>6</v>
      </c>
      <c r="C103" s="67"/>
      <c r="D103" s="69"/>
      <c r="E103" s="69"/>
      <c r="F103" s="69"/>
      <c r="G103" s="69"/>
      <c r="H103" s="68"/>
      <c r="I103" s="69"/>
      <c r="J103" s="70"/>
      <c r="K103" s="70"/>
      <c r="L103" s="70"/>
      <c r="M103" s="70"/>
      <c r="N103" s="59"/>
      <c r="O103" s="60"/>
      <c r="P103" s="61"/>
      <c r="Q103" s="60"/>
      <c r="R103" s="61"/>
      <c r="S103" s="60"/>
      <c r="T103" s="62"/>
      <c r="U103" s="224"/>
      <c r="V103" s="225"/>
      <c r="Z103" s="76"/>
      <c r="AA103" s="76"/>
      <c r="AB103" s="75"/>
      <c r="AC103" s="75"/>
      <c r="AD103" s="75"/>
      <c r="AE103" s="75"/>
      <c r="AF103" s="75"/>
      <c r="AG103" s="75"/>
      <c r="AH103" s="75"/>
      <c r="AI103" s="75"/>
      <c r="AJ103" s="75"/>
      <c r="AK103" s="75"/>
      <c r="AL103" s="76"/>
      <c r="AM103" s="76"/>
      <c r="AN103" s="76"/>
      <c r="AO103" s="77"/>
      <c r="AP103" s="65"/>
    </row>
    <row r="104" spans="1:47" ht="15.6" x14ac:dyDescent="0.3">
      <c r="A104" s="1"/>
      <c r="B104" s="116">
        <v>7</v>
      </c>
      <c r="C104" s="67"/>
      <c r="D104" s="69"/>
      <c r="E104" s="69"/>
      <c r="F104" s="69"/>
      <c r="G104" s="69"/>
      <c r="H104" s="69"/>
      <c r="I104" s="68"/>
      <c r="J104" s="83"/>
      <c r="K104" s="83"/>
      <c r="L104" s="83"/>
      <c r="M104" s="83"/>
      <c r="N104" s="84"/>
      <c r="O104" s="60"/>
      <c r="P104" s="61"/>
      <c r="Q104" s="60"/>
      <c r="R104" s="61"/>
      <c r="S104" s="60"/>
      <c r="T104" s="62"/>
      <c r="U104" s="224"/>
      <c r="V104" s="225"/>
      <c r="Z104" s="79"/>
      <c r="AA104" s="79"/>
      <c r="AB104" s="75"/>
      <c r="AC104" s="75"/>
      <c r="AD104" s="75"/>
      <c r="AE104" s="75"/>
      <c r="AF104" s="75"/>
      <c r="AG104" s="75"/>
      <c r="AH104" s="75"/>
      <c r="AI104" s="75"/>
      <c r="AJ104" s="75"/>
      <c r="AK104" s="75"/>
      <c r="AL104" s="76"/>
      <c r="AM104" s="76"/>
      <c r="AN104" s="76"/>
      <c r="AO104" s="77"/>
      <c r="AP104" s="65"/>
    </row>
    <row r="105" spans="1:47" ht="15.6" x14ac:dyDescent="0.3">
      <c r="A105" s="1"/>
      <c r="B105" s="117">
        <v>8</v>
      </c>
      <c r="C105" s="87"/>
      <c r="D105" s="88"/>
      <c r="E105" s="88"/>
      <c r="F105" s="88"/>
      <c r="G105" s="88"/>
      <c r="H105" s="88"/>
      <c r="I105" s="89"/>
      <c r="J105" s="90"/>
      <c r="K105" s="91"/>
      <c r="L105" s="91"/>
      <c r="M105" s="91"/>
      <c r="N105" s="84"/>
      <c r="O105" s="60"/>
      <c r="P105" s="61"/>
      <c r="Q105" s="60"/>
      <c r="R105" s="61"/>
      <c r="S105" s="60"/>
      <c r="T105" s="62"/>
      <c r="U105" s="224"/>
      <c r="V105" s="225"/>
      <c r="Z105" s="111"/>
      <c r="AA105" s="76"/>
      <c r="AB105" s="76"/>
      <c r="AC105" s="76"/>
      <c r="AD105" s="76"/>
      <c r="AE105" s="76"/>
      <c r="AF105" s="76"/>
      <c r="AG105" s="76"/>
      <c r="AH105" s="76"/>
      <c r="AI105" s="76"/>
      <c r="AJ105" s="76"/>
      <c r="AK105" s="76"/>
      <c r="AL105" s="76"/>
      <c r="AM105" s="76"/>
      <c r="AN105" s="76"/>
      <c r="AO105" s="76"/>
    </row>
    <row r="106" spans="1:47" ht="15.6" x14ac:dyDescent="0.3">
      <c r="A106" s="1"/>
      <c r="B106" s="116">
        <v>9</v>
      </c>
      <c r="C106" s="87"/>
      <c r="D106" s="88"/>
      <c r="E106" s="88"/>
      <c r="F106" s="88"/>
      <c r="G106" s="88"/>
      <c r="H106" s="88"/>
      <c r="I106" s="89"/>
      <c r="J106" s="91"/>
      <c r="K106" s="90"/>
      <c r="L106" s="91"/>
      <c r="M106" s="91"/>
      <c r="N106" s="84"/>
      <c r="O106" s="60"/>
      <c r="P106" s="61"/>
      <c r="Q106" s="60"/>
      <c r="R106" s="61"/>
      <c r="S106" s="60"/>
      <c r="T106" s="62"/>
      <c r="U106" s="224"/>
      <c r="V106" s="225"/>
      <c r="Z106" s="76"/>
      <c r="AH106" s="76"/>
      <c r="AI106" s="76"/>
      <c r="AJ106" s="76"/>
      <c r="AK106" s="76"/>
      <c r="AL106" s="76"/>
      <c r="AM106" s="75"/>
      <c r="AN106" s="75"/>
      <c r="AO106" s="92"/>
      <c r="AP106" s="63"/>
    </row>
    <row r="107" spans="1:47" ht="15.6" x14ac:dyDescent="0.3">
      <c r="A107" s="1"/>
      <c r="B107" s="117">
        <v>10</v>
      </c>
      <c r="C107" s="87"/>
      <c r="D107" s="88"/>
      <c r="E107" s="88"/>
      <c r="F107" s="88"/>
      <c r="G107" s="88"/>
      <c r="H107" s="88"/>
      <c r="I107" s="89"/>
      <c r="J107" s="91"/>
      <c r="K107" s="91"/>
      <c r="L107" s="90"/>
      <c r="M107" s="91"/>
      <c r="N107" s="84"/>
      <c r="O107" s="60"/>
      <c r="P107" s="61"/>
      <c r="Q107" s="60"/>
      <c r="R107" s="61"/>
      <c r="S107" s="60"/>
      <c r="T107" s="62"/>
      <c r="U107" s="224"/>
      <c r="V107" s="225"/>
      <c r="Z107" s="79"/>
      <c r="AA107" s="79"/>
      <c r="AB107" s="75"/>
      <c r="AC107" s="75"/>
      <c r="AD107" s="75"/>
      <c r="AE107" s="75"/>
      <c r="AF107" s="75"/>
      <c r="AG107" s="75"/>
      <c r="AH107" s="75"/>
      <c r="AI107" s="76"/>
      <c r="AJ107" s="76"/>
      <c r="AK107" s="76"/>
      <c r="AL107" s="76"/>
      <c r="AM107" s="76"/>
      <c r="AN107" s="75"/>
      <c r="AO107" s="92"/>
      <c r="AP107" s="63"/>
    </row>
    <row r="108" spans="1:47" ht="15.6" x14ac:dyDescent="0.3">
      <c r="A108" s="119"/>
      <c r="B108" s="116">
        <v>11</v>
      </c>
      <c r="C108" s="87"/>
      <c r="D108" s="88"/>
      <c r="E108" s="88"/>
      <c r="F108" s="88"/>
      <c r="G108" s="88"/>
      <c r="H108" s="88"/>
      <c r="I108" s="89"/>
      <c r="J108" s="91"/>
      <c r="K108" s="91"/>
      <c r="L108" s="91"/>
      <c r="M108" s="90"/>
      <c r="N108" s="84"/>
      <c r="O108" s="60"/>
      <c r="P108" s="61"/>
      <c r="Q108" s="60"/>
      <c r="R108" s="61"/>
      <c r="S108" s="60"/>
      <c r="T108" s="62"/>
      <c r="U108" s="224"/>
      <c r="V108" s="225"/>
      <c r="Z108" s="111"/>
      <c r="AA108" s="76"/>
      <c r="AB108" s="76"/>
      <c r="AC108" s="76"/>
      <c r="AD108" s="76"/>
      <c r="AE108" s="76"/>
      <c r="AF108" s="76"/>
      <c r="AG108" s="76"/>
      <c r="AH108" s="76"/>
      <c r="AI108" s="76"/>
      <c r="AJ108" s="76"/>
      <c r="AK108" s="76"/>
      <c r="AL108" s="76"/>
      <c r="AM108" s="76"/>
      <c r="AN108" s="76"/>
      <c r="AO108" s="76"/>
      <c r="AP108" s="76"/>
      <c r="AQ108" s="76"/>
      <c r="AR108" s="76"/>
      <c r="AS108" s="76"/>
      <c r="AT108" s="76"/>
      <c r="AU108" s="76"/>
    </row>
    <row r="109" spans="1:47" ht="16.2" thickBot="1" x14ac:dyDescent="0.35">
      <c r="A109" s="121"/>
      <c r="B109" s="122">
        <v>12</v>
      </c>
      <c r="C109" s="97"/>
      <c r="D109" s="98"/>
      <c r="E109" s="98"/>
      <c r="F109" s="98"/>
      <c r="G109" s="98"/>
      <c r="H109" s="98"/>
      <c r="I109" s="98"/>
      <c r="J109" s="99"/>
      <c r="K109" s="99"/>
      <c r="L109" s="99"/>
      <c r="M109" s="99"/>
      <c r="N109" s="100"/>
      <c r="O109" s="101"/>
      <c r="P109" s="102"/>
      <c r="Q109" s="101"/>
      <c r="R109" s="102"/>
      <c r="S109" s="101"/>
      <c r="T109" s="103"/>
      <c r="U109" s="231"/>
      <c r="V109" s="232"/>
      <c r="Z109" s="76"/>
      <c r="AK109" s="82"/>
      <c r="AL109" s="82"/>
      <c r="AM109" s="82"/>
      <c r="AN109" s="82"/>
      <c r="AO109" s="94"/>
      <c r="AP109" s="54"/>
    </row>
    <row r="110" spans="1:47" ht="15.6" x14ac:dyDescent="0.3">
      <c r="Z110" s="76"/>
      <c r="AA110" s="76"/>
      <c r="AB110" s="76"/>
      <c r="AC110" s="76"/>
      <c r="AD110" s="76"/>
      <c r="AE110" s="76"/>
      <c r="AF110" s="76"/>
      <c r="AG110" s="76"/>
      <c r="AH110" s="76"/>
      <c r="AI110" s="76"/>
      <c r="AJ110" s="76"/>
      <c r="AK110" s="76"/>
      <c r="AL110" s="76"/>
      <c r="AM110" s="76"/>
      <c r="AN110" s="76"/>
      <c r="AO110" s="104"/>
      <c r="AP110" s="105"/>
    </row>
    <row r="111" spans="1:47" ht="15.6" x14ac:dyDescent="0.3">
      <c r="A111" s="210" t="s">
        <v>556</v>
      </c>
      <c r="B111" s="75"/>
      <c r="C111" s="75"/>
      <c r="D111" s="75"/>
      <c r="E111" s="75"/>
      <c r="F111" s="75"/>
      <c r="G111" s="75"/>
      <c r="H111" s="75"/>
      <c r="I111" s="75"/>
      <c r="J111" s="75"/>
      <c r="K111" s="75"/>
      <c r="L111" s="75"/>
      <c r="M111" s="75"/>
      <c r="N111" s="75"/>
      <c r="O111" s="76"/>
      <c r="P111" s="77"/>
      <c r="Q111" s="65"/>
      <c r="Z111" s="111"/>
      <c r="AA111" s="76"/>
      <c r="AB111" s="76"/>
      <c r="AC111" s="76"/>
      <c r="AD111" s="76"/>
      <c r="AE111" s="76"/>
      <c r="AF111" s="76"/>
      <c r="AG111" s="76"/>
      <c r="AH111" s="76"/>
      <c r="AI111" s="76"/>
      <c r="AJ111" s="76"/>
      <c r="AK111" s="76"/>
      <c r="AL111" s="76"/>
      <c r="AM111" s="76"/>
      <c r="AN111" s="76"/>
      <c r="AO111" s="104"/>
      <c r="AP111" s="105"/>
    </row>
    <row r="112" spans="1:47" ht="15.6" x14ac:dyDescent="0.3">
      <c r="A112" s="111"/>
      <c r="B112" s="75"/>
      <c r="C112" s="75"/>
      <c r="D112" s="75"/>
      <c r="E112" s="75"/>
      <c r="F112" s="75"/>
      <c r="G112" s="75"/>
      <c r="H112" s="75"/>
      <c r="I112" s="75"/>
      <c r="J112" s="75"/>
      <c r="K112" s="75"/>
      <c r="L112" s="82"/>
      <c r="M112" s="76"/>
      <c r="N112" s="76"/>
      <c r="O112" s="76"/>
      <c r="P112" s="77"/>
      <c r="Q112" s="65"/>
      <c r="Z112" s="75"/>
      <c r="AA112" s="76"/>
      <c r="AB112" s="77"/>
      <c r="AC112" s="65"/>
      <c r="AO112" s="104"/>
      <c r="AP112" s="105"/>
    </row>
    <row r="113" spans="1:47" ht="15.6" x14ac:dyDescent="0.3">
      <c r="A113" s="76"/>
      <c r="B113" s="76"/>
      <c r="C113" s="75"/>
      <c r="D113" s="75"/>
      <c r="E113" s="75"/>
      <c r="F113" s="75"/>
      <c r="G113" s="75"/>
      <c r="H113" s="75"/>
      <c r="I113" s="75"/>
      <c r="J113" s="75"/>
      <c r="K113" s="75"/>
      <c r="L113" s="75"/>
      <c r="M113" s="76"/>
      <c r="N113" s="76"/>
      <c r="O113" s="76"/>
      <c r="P113" s="77"/>
      <c r="Q113" s="65"/>
      <c r="Z113" s="75"/>
      <c r="AA113" s="76"/>
      <c r="AB113" s="77"/>
      <c r="AC113" s="65"/>
      <c r="AD113" s="76"/>
      <c r="AE113" s="76"/>
      <c r="AF113" s="76"/>
      <c r="AG113" s="76"/>
      <c r="AH113" s="76"/>
      <c r="AI113" s="76"/>
      <c r="AJ113" s="76"/>
      <c r="AK113" s="76"/>
      <c r="AL113" s="76"/>
      <c r="AM113" s="76"/>
      <c r="AN113" s="76"/>
      <c r="AO113" s="104"/>
      <c r="AP113" s="105"/>
    </row>
    <row r="114" spans="1:47" ht="15.6" x14ac:dyDescent="0.3">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104"/>
      <c r="AP114" s="105"/>
    </row>
    <row r="115" spans="1:47" ht="15.6" x14ac:dyDescent="0.3">
      <c r="A115" s="82"/>
      <c r="H115" s="82"/>
      <c r="I115" s="82"/>
      <c r="J115" s="82"/>
      <c r="K115" s="82"/>
      <c r="L115" s="82"/>
      <c r="M115" s="82"/>
      <c r="N115" s="82"/>
      <c r="O115" s="82"/>
      <c r="P115" s="94"/>
      <c r="Q115" s="54"/>
      <c r="Z115" s="76"/>
      <c r="AA115" s="76"/>
      <c r="AB115" s="76"/>
      <c r="AC115" s="76"/>
      <c r="AD115" s="76"/>
      <c r="AE115" s="76"/>
      <c r="AF115" s="76"/>
      <c r="AG115" s="76"/>
      <c r="AH115" s="76"/>
      <c r="AI115" s="76"/>
      <c r="AJ115" s="76"/>
      <c r="AK115" s="76"/>
      <c r="AL115" s="76"/>
      <c r="AM115" s="76"/>
      <c r="AN115" s="76"/>
      <c r="AO115" s="104"/>
      <c r="AP115" s="105"/>
    </row>
    <row r="116" spans="1:47" ht="15.6" x14ac:dyDescent="0.3">
      <c r="A116" s="82"/>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7"/>
      <c r="AB116" s="65"/>
      <c r="AC116" s="76"/>
      <c r="AD116" s="76"/>
      <c r="AE116" s="76"/>
      <c r="AF116" s="76"/>
      <c r="AG116" s="76"/>
      <c r="AH116" s="76"/>
      <c r="AI116" s="76"/>
      <c r="AJ116" s="76"/>
      <c r="AK116" s="76"/>
      <c r="AL116" s="76"/>
      <c r="AM116" s="76"/>
      <c r="AN116" s="76"/>
      <c r="AO116" s="104"/>
      <c r="AP116" s="105"/>
    </row>
    <row r="117" spans="1:47" x14ac:dyDescent="0.25">
      <c r="Z117" s="111"/>
      <c r="AA117" s="76"/>
      <c r="AB117" s="76"/>
      <c r="AC117" s="76"/>
      <c r="AD117" s="76"/>
      <c r="AE117" s="76"/>
      <c r="AF117" s="76"/>
      <c r="AG117" s="76"/>
      <c r="AH117" s="76"/>
      <c r="AI117" s="76"/>
      <c r="AJ117" s="76"/>
      <c r="AK117" s="76"/>
      <c r="AL117" s="76"/>
      <c r="AM117" s="76"/>
      <c r="AN117" s="76"/>
      <c r="AO117" s="76"/>
      <c r="AP117" s="76"/>
      <c r="AQ117" s="76"/>
      <c r="AR117" s="76"/>
      <c r="AS117" s="76"/>
      <c r="AT117" s="76"/>
      <c r="AU117" s="76"/>
    </row>
    <row r="118" spans="1:47" ht="15.6" x14ac:dyDescent="0.3">
      <c r="B118" s="76"/>
      <c r="C118" s="76"/>
      <c r="D118" s="76"/>
      <c r="Z118" s="76"/>
      <c r="AO118" s="104"/>
      <c r="AP118" s="105"/>
    </row>
    <row r="119" spans="1:47" ht="22.8" x14ac:dyDescent="0.4">
      <c r="A119" s="112" t="s">
        <v>627</v>
      </c>
      <c r="Z119" s="76"/>
      <c r="AA119" s="76"/>
      <c r="AB119" s="76"/>
      <c r="AC119" s="76"/>
      <c r="AD119" s="76"/>
      <c r="AE119" s="76"/>
      <c r="AF119" s="76"/>
      <c r="AG119" s="76"/>
      <c r="AH119" s="76"/>
      <c r="AI119" s="76"/>
      <c r="AJ119" s="76"/>
      <c r="AK119" s="76"/>
      <c r="AL119" s="76"/>
      <c r="AM119" s="76"/>
      <c r="AN119" s="76"/>
      <c r="AO119" s="76"/>
      <c r="AP119" s="54"/>
    </row>
    <row r="120" spans="1:47" ht="23.4" thickBot="1" x14ac:dyDescent="0.45">
      <c r="A120" s="112"/>
      <c r="Z120" s="76"/>
      <c r="AA120" s="76"/>
      <c r="AB120" s="76"/>
      <c r="AC120" s="76"/>
      <c r="AD120" s="76"/>
      <c r="AE120" s="76"/>
      <c r="AF120" s="76"/>
      <c r="AG120" s="76"/>
      <c r="AH120" s="76"/>
      <c r="AI120" s="76"/>
      <c r="AJ120" s="76"/>
      <c r="AK120" s="76"/>
      <c r="AL120" s="76"/>
      <c r="AM120" s="76"/>
      <c r="AN120" s="76"/>
      <c r="AO120" s="76"/>
      <c r="AP120" s="54"/>
    </row>
    <row r="121" spans="1:47" ht="100.2" customHeight="1" thickBot="1" x14ac:dyDescent="0.55000000000000004">
      <c r="A121" s="214" t="str">
        <f>CONCATENATE(AH6,"                ",AG6)</f>
        <v>SABEL                groot wapen</v>
      </c>
      <c r="B121" s="215"/>
      <c r="C121" s="216" t="str">
        <f>CONCATENATE(AE6,"                     ", AF6)</f>
        <v>LOPER                      gemengd elek./mech.</v>
      </c>
      <c r="D121" s="217"/>
      <c r="E121" s="218"/>
      <c r="F121" s="218"/>
      <c r="G121" s="218"/>
      <c r="H121" s="218"/>
      <c r="I121" s="218"/>
      <c r="J121" s="218"/>
      <c r="K121" s="219"/>
      <c r="L121" s="220">
        <f>AC6</f>
        <v>0</v>
      </c>
      <c r="M121" s="221"/>
      <c r="N121" s="42" t="s">
        <v>503</v>
      </c>
      <c r="O121" s="222" t="s">
        <v>504</v>
      </c>
      <c r="P121" s="223"/>
      <c r="Q121" s="222" t="s">
        <v>505</v>
      </c>
      <c r="R121" s="223"/>
      <c r="S121" s="222" t="s">
        <v>506</v>
      </c>
      <c r="T121" s="223"/>
      <c r="U121" s="234" t="s">
        <v>584</v>
      </c>
      <c r="V121" s="235"/>
      <c r="W121" s="130"/>
      <c r="X121" s="209" t="s">
        <v>433</v>
      </c>
      <c r="Y121" s="132"/>
    </row>
    <row r="122" spans="1:47" ht="16.2" thickBot="1" x14ac:dyDescent="0.35">
      <c r="A122" s="49" t="s">
        <v>508</v>
      </c>
      <c r="B122" s="113"/>
      <c r="C122" s="45">
        <v>1</v>
      </c>
      <c r="D122" s="46">
        <v>2</v>
      </c>
      <c r="E122" s="46">
        <v>3</v>
      </c>
      <c r="F122" s="46">
        <v>4</v>
      </c>
      <c r="G122" s="46">
        <v>5</v>
      </c>
      <c r="H122" s="46">
        <v>6</v>
      </c>
      <c r="I122" s="46">
        <v>7</v>
      </c>
      <c r="J122" s="46">
        <v>8</v>
      </c>
      <c r="K122" s="46">
        <v>9</v>
      </c>
      <c r="L122" s="47">
        <v>10</v>
      </c>
      <c r="M122" s="47">
        <v>11</v>
      </c>
      <c r="N122" s="48">
        <v>12</v>
      </c>
      <c r="O122" s="49" t="s">
        <v>509</v>
      </c>
      <c r="P122" s="50" t="s">
        <v>510</v>
      </c>
      <c r="Q122" s="51" t="s">
        <v>509</v>
      </c>
      <c r="R122" s="48" t="s">
        <v>510</v>
      </c>
      <c r="S122" s="51" t="s">
        <v>509</v>
      </c>
      <c r="T122" s="52" t="s">
        <v>510</v>
      </c>
      <c r="U122" s="236"/>
      <c r="V122" s="237"/>
      <c r="W122" s="131"/>
      <c r="X122" s="131"/>
      <c r="Y122" s="131"/>
      <c r="Z122" s="111"/>
      <c r="AA122" s="76"/>
      <c r="AB122" s="76"/>
      <c r="AC122" s="76"/>
      <c r="AD122" s="76"/>
      <c r="AE122" s="76"/>
      <c r="AF122" s="76"/>
      <c r="AG122" s="76"/>
      <c r="AH122" s="76"/>
      <c r="AI122" s="76"/>
      <c r="AJ122" s="76"/>
      <c r="AK122" s="76"/>
      <c r="AL122" s="76"/>
      <c r="AM122" s="76"/>
      <c r="AN122" s="76"/>
      <c r="AO122" s="76"/>
      <c r="AP122" s="76"/>
      <c r="AQ122" s="76"/>
      <c r="AR122" s="76"/>
      <c r="AS122" s="76"/>
      <c r="AT122" s="76"/>
      <c r="AU122" s="76"/>
    </row>
    <row r="123" spans="1:47" ht="15.6" x14ac:dyDescent="0.3">
      <c r="A123" s="1"/>
      <c r="B123" s="116">
        <v>1</v>
      </c>
      <c r="C123" s="56"/>
      <c r="D123" s="57"/>
      <c r="E123" s="57"/>
      <c r="F123" s="57"/>
      <c r="G123" s="57"/>
      <c r="H123" s="57"/>
      <c r="I123" s="57"/>
      <c r="J123" s="58"/>
      <c r="K123" s="58"/>
      <c r="L123" s="58"/>
      <c r="M123" s="58"/>
      <c r="N123" s="59"/>
      <c r="O123" s="60"/>
      <c r="P123" s="61"/>
      <c r="Q123" s="60"/>
      <c r="R123" s="61"/>
      <c r="S123" s="60"/>
      <c r="T123" s="62"/>
      <c r="U123" s="224"/>
      <c r="V123" s="225"/>
      <c r="Z123" s="76"/>
    </row>
    <row r="124" spans="1:47" ht="15.6" x14ac:dyDescent="0.3">
      <c r="A124" s="1"/>
      <c r="B124" s="117">
        <v>2</v>
      </c>
      <c r="C124" s="67"/>
      <c r="D124" s="68"/>
      <c r="E124" s="69"/>
      <c r="F124" s="69"/>
      <c r="G124" s="69"/>
      <c r="H124" s="69"/>
      <c r="I124" s="69"/>
      <c r="J124" s="70"/>
      <c r="K124" s="70"/>
      <c r="L124" s="70"/>
      <c r="M124" s="70"/>
      <c r="N124" s="59"/>
      <c r="O124" s="60"/>
      <c r="P124" s="61"/>
      <c r="Q124" s="60"/>
      <c r="R124" s="61"/>
      <c r="S124" s="60"/>
      <c r="T124" s="62"/>
      <c r="U124" s="224"/>
      <c r="V124" s="225"/>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row>
    <row r="125" spans="1:47" ht="15.6" x14ac:dyDescent="0.3">
      <c r="A125" s="28"/>
      <c r="B125" s="116">
        <v>3</v>
      </c>
      <c r="C125" s="67"/>
      <c r="D125" s="69"/>
      <c r="E125" s="68"/>
      <c r="F125" s="69"/>
      <c r="G125" s="69"/>
      <c r="H125" s="69"/>
      <c r="I125" s="69"/>
      <c r="J125" s="70"/>
      <c r="K125" s="70"/>
      <c r="L125" s="70"/>
      <c r="M125" s="70"/>
      <c r="N125" s="59"/>
      <c r="O125" s="60"/>
      <c r="P125" s="61"/>
      <c r="Q125" s="60"/>
      <c r="R125" s="61"/>
      <c r="S125" s="60"/>
      <c r="T125" s="62"/>
      <c r="U125" s="224"/>
      <c r="V125" s="225"/>
      <c r="Z125" s="82"/>
      <c r="AG125" s="82"/>
      <c r="AH125" s="82"/>
      <c r="AI125" s="82"/>
      <c r="AJ125" s="82"/>
      <c r="AK125" s="82"/>
      <c r="AL125" s="82"/>
      <c r="AM125" s="82"/>
      <c r="AN125" s="82"/>
      <c r="AO125" s="94"/>
      <c r="AP125" s="54"/>
    </row>
    <row r="126" spans="1:47" ht="15.6" x14ac:dyDescent="0.3">
      <c r="A126" s="29"/>
      <c r="B126" s="117">
        <v>4</v>
      </c>
      <c r="C126" s="67"/>
      <c r="D126" s="69"/>
      <c r="E126" s="69"/>
      <c r="F126" s="68"/>
      <c r="G126" s="69"/>
      <c r="H126" s="69"/>
      <c r="I126" s="69"/>
      <c r="J126" s="70"/>
      <c r="K126" s="70"/>
      <c r="L126" s="70"/>
      <c r="M126" s="70"/>
      <c r="N126" s="59"/>
      <c r="O126" s="60"/>
      <c r="P126" s="61"/>
      <c r="Q126" s="60"/>
      <c r="R126" s="61"/>
      <c r="S126" s="60"/>
      <c r="T126" s="62"/>
      <c r="U126" s="224"/>
      <c r="V126" s="225"/>
      <c r="AA126" s="76"/>
      <c r="AB126" s="76"/>
      <c r="AC126" s="76"/>
      <c r="AO126" s="94"/>
      <c r="AP126" s="54"/>
    </row>
    <row r="127" spans="1:47" ht="15.6" x14ac:dyDescent="0.3">
      <c r="A127" s="1"/>
      <c r="B127" s="116">
        <v>5</v>
      </c>
      <c r="C127" s="67"/>
      <c r="D127" s="69"/>
      <c r="E127" s="69"/>
      <c r="F127" s="69"/>
      <c r="G127" s="68"/>
      <c r="H127" s="69"/>
      <c r="I127" s="69"/>
      <c r="J127" s="70"/>
      <c r="K127" s="70"/>
      <c r="L127" s="70"/>
      <c r="M127" s="70"/>
      <c r="N127" s="59"/>
      <c r="O127" s="60"/>
      <c r="P127" s="61"/>
      <c r="Q127" s="60"/>
      <c r="R127" s="61"/>
      <c r="S127" s="60"/>
      <c r="T127" s="62"/>
      <c r="U127" s="224"/>
      <c r="V127" s="225"/>
    </row>
    <row r="128" spans="1:47" ht="15.6" x14ac:dyDescent="0.3">
      <c r="A128" s="1"/>
      <c r="B128" s="117">
        <v>6</v>
      </c>
      <c r="C128" s="67"/>
      <c r="D128" s="69"/>
      <c r="E128" s="69"/>
      <c r="F128" s="69"/>
      <c r="G128" s="69"/>
      <c r="H128" s="68"/>
      <c r="I128" s="69"/>
      <c r="J128" s="70"/>
      <c r="K128" s="70"/>
      <c r="L128" s="70"/>
      <c r="M128" s="70"/>
      <c r="N128" s="59"/>
      <c r="O128" s="60"/>
      <c r="P128" s="61"/>
      <c r="Q128" s="60"/>
      <c r="R128" s="61"/>
      <c r="S128" s="60"/>
      <c r="T128" s="62"/>
      <c r="U128" s="224"/>
      <c r="V128" s="225"/>
    </row>
    <row r="129" spans="1:47" ht="15.6" x14ac:dyDescent="0.3">
      <c r="A129" s="28"/>
      <c r="B129" s="116">
        <v>7</v>
      </c>
      <c r="C129" s="67"/>
      <c r="D129" s="69"/>
      <c r="E129" s="69"/>
      <c r="F129" s="69"/>
      <c r="G129" s="69"/>
      <c r="H129" s="69"/>
      <c r="I129" s="68"/>
      <c r="J129" s="83"/>
      <c r="K129" s="83"/>
      <c r="L129" s="83"/>
      <c r="M129" s="83"/>
      <c r="N129" s="84"/>
      <c r="O129" s="60"/>
      <c r="P129" s="61"/>
      <c r="Q129" s="60"/>
      <c r="R129" s="61"/>
      <c r="S129" s="60"/>
      <c r="T129" s="62"/>
      <c r="U129" s="224"/>
      <c r="V129" s="225"/>
      <c r="Z129" s="123"/>
      <c r="AA129" s="76"/>
      <c r="AB129" s="76"/>
      <c r="AD129" s="76"/>
      <c r="AE129" s="76"/>
      <c r="AF129" s="76"/>
      <c r="AG129" s="76"/>
      <c r="AH129" s="76"/>
      <c r="AI129" s="76"/>
      <c r="AJ129" s="76"/>
      <c r="AK129" s="76"/>
      <c r="AL129" s="76"/>
      <c r="AM129" s="76"/>
      <c r="AN129" s="76"/>
      <c r="AO129" s="76"/>
      <c r="AP129" s="76"/>
      <c r="AQ129" s="76"/>
      <c r="AR129" s="76"/>
      <c r="AS129" s="76"/>
      <c r="AT129" s="76"/>
      <c r="AU129" s="76"/>
    </row>
    <row r="130" spans="1:47" ht="15.6" x14ac:dyDescent="0.3">
      <c r="A130" s="119"/>
      <c r="B130" s="117">
        <v>8</v>
      </c>
      <c r="C130" s="87"/>
      <c r="D130" s="88"/>
      <c r="E130" s="88"/>
      <c r="F130" s="88"/>
      <c r="G130" s="88"/>
      <c r="H130" s="88"/>
      <c r="I130" s="89"/>
      <c r="J130" s="90"/>
      <c r="K130" s="91"/>
      <c r="L130" s="91"/>
      <c r="M130" s="91"/>
      <c r="N130" s="84"/>
      <c r="O130" s="60"/>
      <c r="P130" s="61"/>
      <c r="Q130" s="60"/>
      <c r="R130" s="61"/>
      <c r="S130" s="60"/>
      <c r="T130" s="62"/>
      <c r="U130" s="224"/>
      <c r="V130" s="225"/>
      <c r="Z130" s="82"/>
      <c r="AO130" s="94"/>
      <c r="AP130" s="54"/>
    </row>
    <row r="131" spans="1:47" ht="15.6" x14ac:dyDescent="0.3">
      <c r="A131" s="119"/>
      <c r="B131" s="116">
        <v>9</v>
      </c>
      <c r="C131" s="87"/>
      <c r="D131" s="88"/>
      <c r="E131" s="88"/>
      <c r="F131" s="88"/>
      <c r="G131" s="88"/>
      <c r="H131" s="88"/>
      <c r="I131" s="89"/>
      <c r="J131" s="91"/>
      <c r="K131" s="90"/>
      <c r="L131" s="91"/>
      <c r="M131" s="91"/>
      <c r="N131" s="84"/>
      <c r="O131" s="60"/>
      <c r="P131" s="61"/>
      <c r="Q131" s="60"/>
      <c r="R131" s="61"/>
      <c r="S131" s="60"/>
      <c r="T131" s="62"/>
      <c r="U131" s="224"/>
      <c r="V131" s="225"/>
      <c r="AA131" s="76"/>
      <c r="AB131" s="76"/>
      <c r="AD131" s="76"/>
      <c r="AE131" s="76"/>
      <c r="AF131" s="76"/>
      <c r="AG131" s="76"/>
      <c r="AH131" s="76"/>
      <c r="AI131" s="76"/>
      <c r="AJ131" s="76"/>
      <c r="AK131" s="76"/>
      <c r="AL131" s="76"/>
      <c r="AM131" s="76"/>
      <c r="AN131" s="76"/>
      <c r="AO131" s="76"/>
      <c r="AP131" s="76"/>
      <c r="AQ131" s="76"/>
      <c r="AR131" s="76"/>
      <c r="AS131" s="76"/>
      <c r="AT131" s="76"/>
      <c r="AU131" s="76"/>
    </row>
    <row r="132" spans="1:47" ht="15.6" x14ac:dyDescent="0.3">
      <c r="A132" s="119"/>
      <c r="B132" s="117">
        <v>10</v>
      </c>
      <c r="C132" s="87"/>
      <c r="D132" s="88"/>
      <c r="E132" s="88"/>
      <c r="F132" s="88"/>
      <c r="G132" s="88"/>
      <c r="H132" s="88"/>
      <c r="I132" s="89"/>
      <c r="J132" s="91"/>
      <c r="K132" s="91"/>
      <c r="L132" s="90"/>
      <c r="M132" s="91"/>
      <c r="N132" s="84"/>
      <c r="O132" s="60"/>
      <c r="P132" s="61"/>
      <c r="Q132" s="60"/>
      <c r="R132" s="61"/>
      <c r="S132" s="60"/>
      <c r="T132" s="62"/>
      <c r="U132" s="224"/>
      <c r="V132" s="225"/>
    </row>
    <row r="133" spans="1:47" ht="15.6" x14ac:dyDescent="0.3">
      <c r="A133" s="119"/>
      <c r="B133" s="116">
        <v>11</v>
      </c>
      <c r="C133" s="87"/>
      <c r="D133" s="88"/>
      <c r="E133" s="88"/>
      <c r="F133" s="88"/>
      <c r="G133" s="88"/>
      <c r="H133" s="88"/>
      <c r="I133" s="89"/>
      <c r="J133" s="91"/>
      <c r="K133" s="91"/>
      <c r="L133" s="91"/>
      <c r="M133" s="90"/>
      <c r="N133" s="84"/>
      <c r="O133" s="60"/>
      <c r="P133" s="61"/>
      <c r="Q133" s="60"/>
      <c r="R133" s="61"/>
      <c r="S133" s="60"/>
      <c r="T133" s="62"/>
      <c r="U133" s="224"/>
      <c r="V133" s="225"/>
      <c r="AA133" s="76"/>
      <c r="AB133" s="76"/>
      <c r="AC133" s="76"/>
      <c r="AD133" s="76"/>
      <c r="AE133" s="76"/>
      <c r="AF133" s="76"/>
      <c r="AG133" s="76"/>
      <c r="AH133" s="76"/>
      <c r="AI133" s="76"/>
      <c r="AJ133" s="76"/>
      <c r="AK133" s="76"/>
      <c r="AL133" s="76"/>
      <c r="AM133" s="76"/>
    </row>
    <row r="134" spans="1:47" ht="16.2" thickBot="1" x14ac:dyDescent="0.35">
      <c r="A134" s="121"/>
      <c r="B134" s="122">
        <v>12</v>
      </c>
      <c r="C134" s="97"/>
      <c r="D134" s="98"/>
      <c r="E134" s="98"/>
      <c r="F134" s="98"/>
      <c r="G134" s="98"/>
      <c r="H134" s="98"/>
      <c r="I134" s="98"/>
      <c r="J134" s="99"/>
      <c r="K134" s="99"/>
      <c r="L134" s="99"/>
      <c r="M134" s="99"/>
      <c r="N134" s="100"/>
      <c r="O134" s="101"/>
      <c r="P134" s="102"/>
      <c r="Q134" s="101"/>
      <c r="R134" s="102"/>
      <c r="S134" s="101"/>
      <c r="T134" s="103"/>
      <c r="U134" s="231"/>
      <c r="V134" s="232"/>
    </row>
    <row r="135" spans="1:47" ht="16.5" customHeight="1" x14ac:dyDescent="0.25"/>
    <row r="136" spans="1:47" ht="16.5" customHeight="1" x14ac:dyDescent="0.25">
      <c r="A136" s="76" t="s">
        <v>556</v>
      </c>
      <c r="B136" s="75"/>
      <c r="C136" s="75"/>
      <c r="D136" s="75"/>
      <c r="E136" s="75"/>
      <c r="F136" s="75"/>
      <c r="G136" s="75"/>
      <c r="H136" s="75"/>
      <c r="I136" s="75"/>
      <c r="J136" s="75"/>
      <c r="K136" s="75"/>
      <c r="L136" s="75"/>
      <c r="M136" s="75"/>
      <c r="N136" s="75"/>
      <c r="O136" s="76"/>
      <c r="P136" s="77"/>
      <c r="Q136" s="65"/>
      <c r="Z136" s="111"/>
      <c r="AA136" s="76"/>
      <c r="AB136" s="76"/>
      <c r="AC136" s="76"/>
      <c r="AD136" s="76"/>
      <c r="AE136" s="76"/>
      <c r="AF136" s="76"/>
      <c r="AG136" s="76"/>
      <c r="AH136" s="76"/>
      <c r="AI136" s="76"/>
      <c r="AJ136" s="76"/>
      <c r="AK136" s="76"/>
      <c r="AL136" s="76"/>
      <c r="AM136" s="76"/>
      <c r="AN136" s="76"/>
      <c r="AO136" s="76"/>
      <c r="AP136" s="76"/>
      <c r="AQ136" s="76"/>
      <c r="AR136" s="76"/>
      <c r="AS136" s="76"/>
      <c r="AT136" s="76"/>
      <c r="AU136" s="76"/>
    </row>
    <row r="137" spans="1:47" ht="16.5" customHeight="1" x14ac:dyDescent="0.25">
      <c r="A137" s="111"/>
      <c r="B137" s="76"/>
      <c r="C137" s="76"/>
      <c r="D137" s="76"/>
      <c r="E137" s="76"/>
      <c r="F137" s="76"/>
      <c r="G137" s="76"/>
      <c r="H137" s="76"/>
      <c r="I137" s="76"/>
      <c r="J137" s="76"/>
      <c r="K137" s="76"/>
      <c r="L137" s="76"/>
      <c r="M137" s="76"/>
      <c r="N137" s="76"/>
      <c r="O137" s="76"/>
      <c r="P137" s="76"/>
      <c r="Z137" s="76"/>
    </row>
    <row r="138" spans="1:47" ht="16.5" customHeight="1" x14ac:dyDescent="0.25">
      <c r="A138" s="76"/>
      <c r="I138" s="76"/>
      <c r="J138" s="76"/>
      <c r="K138" s="76"/>
      <c r="L138" s="76"/>
      <c r="M138" s="76"/>
      <c r="N138" s="75"/>
      <c r="O138" s="75"/>
      <c r="P138" s="92"/>
      <c r="Q138" s="63"/>
      <c r="AA138" s="76"/>
      <c r="AB138" s="76"/>
      <c r="AC138" s="76"/>
      <c r="AD138" s="76"/>
      <c r="AE138" s="76"/>
      <c r="AF138" s="76"/>
      <c r="AG138" s="76"/>
      <c r="AH138" s="76"/>
      <c r="AI138" s="76"/>
      <c r="AJ138" s="76"/>
      <c r="AK138" s="76"/>
      <c r="AL138" s="76"/>
      <c r="AM138" s="76"/>
      <c r="AN138" s="76"/>
      <c r="AO138" s="76"/>
      <c r="AP138" s="76"/>
      <c r="AQ138" s="76"/>
      <c r="AR138" s="76"/>
      <c r="AS138" s="76"/>
      <c r="AT138" s="76"/>
      <c r="AU138" s="76"/>
    </row>
    <row r="139" spans="1:47" ht="16.5" customHeight="1" x14ac:dyDescent="0.25">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82"/>
    </row>
    <row r="140" spans="1:47" ht="16.5" customHeight="1" x14ac:dyDescent="0.25">
      <c r="A140" s="82"/>
      <c r="Z140" s="82"/>
      <c r="AA140" s="76"/>
      <c r="AB140" s="76"/>
      <c r="AC140" s="76"/>
      <c r="AD140" s="76"/>
      <c r="AE140" s="76"/>
      <c r="AF140" s="76"/>
      <c r="AG140" s="76"/>
      <c r="AH140" s="76"/>
      <c r="AI140" s="76"/>
      <c r="AJ140" s="76"/>
      <c r="AK140" s="76"/>
      <c r="AL140" s="76"/>
      <c r="AM140" s="76"/>
      <c r="AN140" s="76"/>
      <c r="AO140" s="76"/>
      <c r="AP140" s="76"/>
      <c r="AQ140" s="76"/>
      <c r="AR140" s="76"/>
      <c r="AS140" s="76"/>
      <c r="AT140" s="76"/>
      <c r="AU140" s="76"/>
    </row>
    <row r="141" spans="1:47" ht="16.5" customHeight="1" x14ac:dyDescent="0.25">
      <c r="A141" s="82"/>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row>
    <row r="142" spans="1:47" ht="16.5" customHeight="1" x14ac:dyDescent="0.25">
      <c r="AA142" s="76"/>
      <c r="AB142" s="76"/>
      <c r="AC142" s="76"/>
    </row>
    <row r="143" spans="1:47" ht="16.5" customHeight="1" x14ac:dyDescent="0.25">
      <c r="B143" s="76"/>
      <c r="C143" s="76"/>
      <c r="D143" s="76"/>
    </row>
    <row r="144" spans="1:47" ht="22.8" x14ac:dyDescent="0.4">
      <c r="A144" s="112" t="s">
        <v>627</v>
      </c>
    </row>
    <row r="145" spans="1:42" ht="13.8" thickBot="1" x14ac:dyDescent="0.3"/>
    <row r="146" spans="1:42" ht="100.2" customHeight="1" thickBot="1" x14ac:dyDescent="0.55000000000000004">
      <c r="A146" s="214" t="str">
        <f>CONCATENATE(AH7,"                ",AG7)</f>
        <v>SABEL                groot wapen</v>
      </c>
      <c r="B146" s="215"/>
      <c r="C146" s="216" t="str">
        <f>CONCATENATE(AE7,"                     ", AF7)</f>
        <v>LOPER                      gemengd elek./mech.</v>
      </c>
      <c r="D146" s="217"/>
      <c r="E146" s="218"/>
      <c r="F146" s="218"/>
      <c r="G146" s="218"/>
      <c r="H146" s="218"/>
      <c r="I146" s="218"/>
      <c r="J146" s="218"/>
      <c r="K146" s="219"/>
      <c r="L146" s="220">
        <f>AC7</f>
        <v>0</v>
      </c>
      <c r="M146" s="221"/>
      <c r="N146" s="42" t="s">
        <v>503</v>
      </c>
      <c r="O146" s="222" t="s">
        <v>504</v>
      </c>
      <c r="P146" s="223"/>
      <c r="Q146" s="222" t="s">
        <v>505</v>
      </c>
      <c r="R146" s="223"/>
      <c r="S146" s="222" t="s">
        <v>506</v>
      </c>
      <c r="T146" s="223"/>
      <c r="U146" s="234" t="s">
        <v>584</v>
      </c>
      <c r="V146" s="235"/>
      <c r="W146" s="130"/>
      <c r="X146" s="209" t="s">
        <v>440</v>
      </c>
      <c r="Y146" s="132"/>
    </row>
    <row r="147" spans="1:42" ht="16.2" thickBot="1" x14ac:dyDescent="0.35">
      <c r="A147" s="49" t="s">
        <v>508</v>
      </c>
      <c r="B147" s="113"/>
      <c r="C147" s="45">
        <v>1</v>
      </c>
      <c r="D147" s="46">
        <v>2</v>
      </c>
      <c r="E147" s="46">
        <v>3</v>
      </c>
      <c r="F147" s="46">
        <v>4</v>
      </c>
      <c r="G147" s="46">
        <v>5</v>
      </c>
      <c r="H147" s="46">
        <v>6</v>
      </c>
      <c r="I147" s="46">
        <v>7</v>
      </c>
      <c r="J147" s="46">
        <v>8</v>
      </c>
      <c r="K147" s="46">
        <v>9</v>
      </c>
      <c r="L147" s="47">
        <v>10</v>
      </c>
      <c r="M147" s="47">
        <v>11</v>
      </c>
      <c r="N147" s="48">
        <v>12</v>
      </c>
      <c r="O147" s="49" t="s">
        <v>509</v>
      </c>
      <c r="P147" s="50" t="s">
        <v>510</v>
      </c>
      <c r="Q147" s="51" t="s">
        <v>509</v>
      </c>
      <c r="R147" s="48" t="s">
        <v>510</v>
      </c>
      <c r="S147" s="51" t="s">
        <v>509</v>
      </c>
      <c r="T147" s="52" t="s">
        <v>510</v>
      </c>
      <c r="U147" s="236"/>
      <c r="V147" s="237"/>
      <c r="W147" s="131"/>
      <c r="X147" s="131"/>
      <c r="Y147" s="131"/>
    </row>
    <row r="148" spans="1:42" ht="15.6" x14ac:dyDescent="0.3">
      <c r="A148" s="1"/>
      <c r="B148" s="116">
        <v>1</v>
      </c>
      <c r="C148" s="56"/>
      <c r="D148" s="57"/>
      <c r="E148" s="57"/>
      <c r="F148" s="57"/>
      <c r="G148" s="57"/>
      <c r="H148" s="57"/>
      <c r="I148" s="57"/>
      <c r="J148" s="58"/>
      <c r="K148" s="58"/>
      <c r="L148" s="58"/>
      <c r="M148" s="58"/>
      <c r="N148" s="59"/>
      <c r="O148" s="60"/>
      <c r="P148" s="61"/>
      <c r="Q148" s="60"/>
      <c r="R148" s="61"/>
      <c r="S148" s="60"/>
      <c r="T148" s="62"/>
      <c r="U148" s="224"/>
      <c r="V148" s="225"/>
    </row>
    <row r="149" spans="1:42" ht="15.6" x14ac:dyDescent="0.3">
      <c r="A149" s="28"/>
      <c r="B149" s="117">
        <v>2</v>
      </c>
      <c r="C149" s="67"/>
      <c r="D149" s="68"/>
      <c r="E149" s="69"/>
      <c r="F149" s="69"/>
      <c r="G149" s="69"/>
      <c r="H149" s="69"/>
      <c r="I149" s="69"/>
      <c r="J149" s="70"/>
      <c r="K149" s="70"/>
      <c r="L149" s="70"/>
      <c r="M149" s="70"/>
      <c r="N149" s="59"/>
      <c r="O149" s="60"/>
      <c r="P149" s="61"/>
      <c r="Q149" s="60"/>
      <c r="R149" s="61"/>
      <c r="S149" s="60"/>
      <c r="T149" s="62"/>
      <c r="U149" s="224"/>
      <c r="V149" s="225"/>
    </row>
    <row r="150" spans="1:42" ht="15.6" x14ac:dyDescent="0.3">
      <c r="A150" s="1"/>
      <c r="B150" s="116">
        <v>3</v>
      </c>
      <c r="C150" s="67"/>
      <c r="D150" s="69"/>
      <c r="E150" s="68"/>
      <c r="F150" s="69"/>
      <c r="G150" s="69"/>
      <c r="H150" s="69"/>
      <c r="I150" s="69"/>
      <c r="J150" s="70"/>
      <c r="K150" s="70"/>
      <c r="L150" s="70"/>
      <c r="M150" s="70"/>
      <c r="N150" s="59"/>
      <c r="O150" s="60"/>
      <c r="P150" s="61"/>
      <c r="Q150" s="60"/>
      <c r="R150" s="61"/>
      <c r="S150" s="60"/>
      <c r="T150" s="62"/>
      <c r="U150" s="224"/>
      <c r="V150" s="225"/>
    </row>
    <row r="151" spans="1:42" ht="15.6" x14ac:dyDescent="0.3">
      <c r="A151" s="1"/>
      <c r="B151" s="117">
        <v>4</v>
      </c>
      <c r="C151" s="67"/>
      <c r="D151" s="69"/>
      <c r="E151" s="69"/>
      <c r="F151" s="68"/>
      <c r="G151" s="69"/>
      <c r="H151" s="69"/>
      <c r="I151" s="69"/>
      <c r="J151" s="70"/>
      <c r="K151" s="70"/>
      <c r="L151" s="70"/>
      <c r="M151" s="70"/>
      <c r="N151" s="59"/>
      <c r="O151" s="60"/>
      <c r="P151" s="61"/>
      <c r="Q151" s="60"/>
      <c r="R151" s="61"/>
      <c r="S151" s="60"/>
      <c r="T151" s="62"/>
      <c r="U151" s="224"/>
      <c r="V151" s="225"/>
    </row>
    <row r="152" spans="1:42" ht="15.6" x14ac:dyDescent="0.3">
      <c r="A152" s="1"/>
      <c r="B152" s="116">
        <v>5</v>
      </c>
      <c r="C152" s="67"/>
      <c r="D152" s="69"/>
      <c r="E152" s="69"/>
      <c r="F152" s="69"/>
      <c r="G152" s="68"/>
      <c r="H152" s="69"/>
      <c r="I152" s="69"/>
      <c r="J152" s="70"/>
      <c r="K152" s="70"/>
      <c r="L152" s="70"/>
      <c r="M152" s="70"/>
      <c r="N152" s="59"/>
      <c r="O152" s="60"/>
      <c r="P152" s="61"/>
      <c r="Q152" s="60"/>
      <c r="R152" s="61"/>
      <c r="S152" s="60"/>
      <c r="T152" s="62"/>
      <c r="U152" s="224"/>
      <c r="V152" s="225"/>
    </row>
    <row r="153" spans="1:42" ht="15.6" x14ac:dyDescent="0.3">
      <c r="A153" s="29"/>
      <c r="B153" s="117">
        <v>6</v>
      </c>
      <c r="C153" s="67"/>
      <c r="D153" s="69"/>
      <c r="E153" s="69"/>
      <c r="F153" s="69"/>
      <c r="G153" s="69"/>
      <c r="H153" s="68"/>
      <c r="I153" s="69"/>
      <c r="J153" s="70"/>
      <c r="K153" s="70"/>
      <c r="L153" s="70"/>
      <c r="M153" s="70"/>
      <c r="N153" s="59"/>
      <c r="O153" s="60"/>
      <c r="P153" s="61"/>
      <c r="Q153" s="60"/>
      <c r="R153" s="61"/>
      <c r="S153" s="60"/>
      <c r="T153" s="62"/>
      <c r="U153" s="224"/>
      <c r="V153" s="225"/>
    </row>
    <row r="154" spans="1:42" ht="15.6" x14ac:dyDescent="0.3">
      <c r="A154" s="28"/>
      <c r="B154" s="116">
        <v>7</v>
      </c>
      <c r="C154" s="67"/>
      <c r="D154" s="69"/>
      <c r="E154" s="69"/>
      <c r="F154" s="69"/>
      <c r="G154" s="69"/>
      <c r="H154" s="69"/>
      <c r="I154" s="68"/>
      <c r="J154" s="83"/>
      <c r="K154" s="83"/>
      <c r="L154" s="83"/>
      <c r="M154" s="83"/>
      <c r="N154" s="84"/>
      <c r="O154" s="60"/>
      <c r="P154" s="61"/>
      <c r="Q154" s="60"/>
      <c r="R154" s="61"/>
      <c r="S154" s="60"/>
      <c r="T154" s="62"/>
      <c r="U154" s="224"/>
      <c r="V154" s="225"/>
    </row>
    <row r="155" spans="1:42" ht="15.6" x14ac:dyDescent="0.3">
      <c r="A155" s="1"/>
      <c r="B155" s="117">
        <v>8</v>
      </c>
      <c r="C155" s="87"/>
      <c r="D155" s="88"/>
      <c r="E155" s="88"/>
      <c r="F155" s="88"/>
      <c r="G155" s="88"/>
      <c r="H155" s="88"/>
      <c r="I155" s="89"/>
      <c r="J155" s="90"/>
      <c r="K155" s="91"/>
      <c r="L155" s="91"/>
      <c r="M155" s="91"/>
      <c r="N155" s="84"/>
      <c r="O155" s="60"/>
      <c r="P155" s="61"/>
      <c r="Q155" s="60"/>
      <c r="R155" s="61"/>
      <c r="S155" s="60"/>
      <c r="T155" s="62"/>
      <c r="U155" s="224"/>
      <c r="V155" s="225"/>
    </row>
    <row r="156" spans="1:42" ht="15.6" x14ac:dyDescent="0.3">
      <c r="A156" s="1"/>
      <c r="B156" s="116">
        <v>9</v>
      </c>
      <c r="C156" s="87"/>
      <c r="D156" s="88"/>
      <c r="E156" s="88"/>
      <c r="F156" s="88"/>
      <c r="G156" s="88"/>
      <c r="H156" s="88"/>
      <c r="I156" s="89"/>
      <c r="J156" s="91"/>
      <c r="K156" s="90"/>
      <c r="L156" s="91"/>
      <c r="M156" s="91"/>
      <c r="N156" s="84"/>
      <c r="O156" s="60"/>
      <c r="P156" s="61"/>
      <c r="Q156" s="60"/>
      <c r="R156" s="61"/>
      <c r="S156" s="60"/>
      <c r="T156" s="62"/>
      <c r="U156" s="224"/>
      <c r="V156" s="225"/>
    </row>
    <row r="157" spans="1:42" ht="15.6" x14ac:dyDescent="0.3">
      <c r="A157" s="119"/>
      <c r="B157" s="117">
        <v>10</v>
      </c>
      <c r="C157" s="87"/>
      <c r="D157" s="88"/>
      <c r="E157" s="88"/>
      <c r="F157" s="88"/>
      <c r="G157" s="88"/>
      <c r="H157" s="88"/>
      <c r="I157" s="89"/>
      <c r="J157" s="91"/>
      <c r="K157" s="91"/>
      <c r="L157" s="90"/>
      <c r="M157" s="91"/>
      <c r="N157" s="84"/>
      <c r="O157" s="60"/>
      <c r="P157" s="61"/>
      <c r="Q157" s="60"/>
      <c r="R157" s="61"/>
      <c r="S157" s="60"/>
      <c r="T157" s="62"/>
      <c r="U157" s="224"/>
      <c r="V157" s="225"/>
      <c r="Z157" s="111"/>
      <c r="AA157" s="75"/>
      <c r="AB157" s="75"/>
      <c r="AC157" s="75"/>
      <c r="AD157" s="75"/>
      <c r="AE157" s="75"/>
      <c r="AF157" s="75"/>
      <c r="AG157" s="75"/>
      <c r="AH157" s="75"/>
      <c r="AI157" s="75"/>
      <c r="AJ157" s="75"/>
      <c r="AK157" s="75"/>
      <c r="AL157" s="75"/>
      <c r="AM157" s="75"/>
      <c r="AN157" s="76"/>
      <c r="AO157" s="77"/>
      <c r="AP157" s="65"/>
    </row>
    <row r="158" spans="1:42" ht="15.6" x14ac:dyDescent="0.3">
      <c r="A158" s="119"/>
      <c r="B158" s="116">
        <v>11</v>
      </c>
      <c r="C158" s="87"/>
      <c r="D158" s="88"/>
      <c r="E158" s="88"/>
      <c r="F158" s="88"/>
      <c r="G158" s="88"/>
      <c r="H158" s="88"/>
      <c r="I158" s="89"/>
      <c r="J158" s="91"/>
      <c r="K158" s="91"/>
      <c r="L158" s="91"/>
      <c r="M158" s="90"/>
      <c r="N158" s="84"/>
      <c r="O158" s="60"/>
      <c r="P158" s="61"/>
      <c r="Q158" s="60"/>
      <c r="R158" s="61"/>
      <c r="S158" s="60"/>
      <c r="T158" s="62"/>
      <c r="U158" s="224"/>
      <c r="V158" s="225"/>
      <c r="Z158" s="78"/>
      <c r="AA158" s="79"/>
      <c r="AB158" s="75"/>
      <c r="AC158" s="75"/>
      <c r="AD158" s="75"/>
      <c r="AE158" s="75"/>
      <c r="AF158" s="75"/>
      <c r="AG158" s="75"/>
      <c r="AH158" s="75"/>
      <c r="AI158" s="75"/>
      <c r="AJ158" s="75"/>
      <c r="AK158" s="75"/>
      <c r="AL158" s="75"/>
      <c r="AM158" s="75"/>
      <c r="AN158" s="76"/>
      <c r="AO158" s="77"/>
      <c r="AP158" s="65"/>
    </row>
    <row r="159" spans="1:42" ht="16.2" thickBot="1" x14ac:dyDescent="0.35">
      <c r="A159" s="121"/>
      <c r="B159" s="122">
        <v>12</v>
      </c>
      <c r="C159" s="97"/>
      <c r="D159" s="98"/>
      <c r="E159" s="98"/>
      <c r="F159" s="98"/>
      <c r="G159" s="98"/>
      <c r="H159" s="98"/>
      <c r="I159" s="98"/>
      <c r="J159" s="99"/>
      <c r="K159" s="99"/>
      <c r="L159" s="99"/>
      <c r="M159" s="99"/>
      <c r="N159" s="100"/>
      <c r="O159" s="101"/>
      <c r="P159" s="102"/>
      <c r="Q159" s="101"/>
      <c r="R159" s="102"/>
      <c r="S159" s="101"/>
      <c r="T159" s="103"/>
      <c r="U159" s="231"/>
      <c r="V159" s="232"/>
      <c r="Z159" s="111"/>
      <c r="AA159" s="75"/>
      <c r="AB159" s="75"/>
      <c r="AC159" s="75"/>
      <c r="AD159" s="75"/>
      <c r="AE159" s="75"/>
      <c r="AF159" s="75"/>
      <c r="AG159" s="75"/>
      <c r="AH159" s="75"/>
      <c r="AI159" s="75"/>
      <c r="AJ159" s="75"/>
      <c r="AK159" s="82"/>
      <c r="AL159" s="76"/>
      <c r="AM159" s="76"/>
      <c r="AN159" s="76"/>
      <c r="AO159" s="77"/>
      <c r="AP159" s="65"/>
    </row>
    <row r="160" spans="1:42" ht="15" x14ac:dyDescent="0.25">
      <c r="Z160" s="76"/>
      <c r="AA160" s="76"/>
      <c r="AB160" s="75"/>
      <c r="AC160" s="75"/>
      <c r="AD160" s="75"/>
      <c r="AE160" s="75"/>
      <c r="AF160" s="75"/>
      <c r="AG160" s="75"/>
      <c r="AH160" s="75"/>
      <c r="AI160" s="75"/>
      <c r="AJ160" s="75"/>
      <c r="AK160" s="75"/>
      <c r="AL160" s="76"/>
      <c r="AM160" s="76"/>
      <c r="AN160" s="76"/>
      <c r="AO160" s="77"/>
      <c r="AP160" s="65"/>
    </row>
    <row r="161" spans="1:47" ht="15" x14ac:dyDescent="0.25">
      <c r="A161" s="76" t="s">
        <v>556</v>
      </c>
      <c r="Z161" s="79"/>
      <c r="AA161" s="79"/>
      <c r="AB161" s="75"/>
      <c r="AC161" s="75"/>
      <c r="AD161" s="75"/>
      <c r="AE161" s="75"/>
      <c r="AF161" s="75"/>
      <c r="AG161" s="75"/>
      <c r="AH161" s="75"/>
      <c r="AI161" s="75"/>
      <c r="AJ161" s="75"/>
      <c r="AK161" s="75"/>
      <c r="AL161" s="76"/>
      <c r="AM161" s="76"/>
      <c r="AN161" s="76"/>
      <c r="AO161" s="77"/>
      <c r="AP161" s="65"/>
    </row>
    <row r="162" spans="1:47" x14ac:dyDescent="0.25">
      <c r="A162" s="111"/>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111"/>
      <c r="AA162" s="76"/>
      <c r="AB162" s="76"/>
      <c r="AC162" s="76"/>
      <c r="AD162" s="76"/>
      <c r="AE162" s="76"/>
      <c r="AF162" s="76"/>
      <c r="AG162" s="76"/>
      <c r="AH162" s="76"/>
      <c r="AI162" s="76"/>
      <c r="AJ162" s="76"/>
      <c r="AK162" s="76"/>
      <c r="AL162" s="76"/>
      <c r="AM162" s="76"/>
      <c r="AN162" s="76"/>
      <c r="AO162" s="76"/>
    </row>
    <row r="163" spans="1:47" ht="15" x14ac:dyDescent="0.25">
      <c r="A163" s="76"/>
      <c r="Z163" s="76"/>
      <c r="AH163" s="76"/>
      <c r="AI163" s="76"/>
      <c r="AJ163" s="76"/>
      <c r="AK163" s="76"/>
      <c r="AL163" s="76"/>
      <c r="AM163" s="75"/>
      <c r="AN163" s="75"/>
      <c r="AO163" s="92"/>
      <c r="AP163" s="63"/>
    </row>
    <row r="164" spans="1:47" ht="15" x14ac:dyDescent="0.25">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9"/>
      <c r="AA164" s="79"/>
      <c r="AB164" s="75"/>
      <c r="AC164" s="75"/>
      <c r="AD164" s="75"/>
      <c r="AE164" s="75"/>
      <c r="AF164" s="75"/>
      <c r="AG164" s="75"/>
      <c r="AH164" s="75"/>
      <c r="AI164" s="76"/>
      <c r="AJ164" s="76"/>
      <c r="AK164" s="76"/>
      <c r="AL164" s="76"/>
      <c r="AM164" s="76"/>
      <c r="AN164" s="75"/>
      <c r="AO164" s="92"/>
      <c r="AP164" s="63"/>
    </row>
    <row r="165" spans="1:47" x14ac:dyDescent="0.25">
      <c r="A165" s="82"/>
      <c r="Z165" s="111"/>
      <c r="AA165" s="76"/>
      <c r="AB165" s="76"/>
      <c r="AC165" s="76"/>
      <c r="AD165" s="76"/>
      <c r="AE165" s="76"/>
      <c r="AF165" s="76"/>
      <c r="AG165" s="76"/>
      <c r="AH165" s="76"/>
      <c r="AI165" s="76"/>
      <c r="AJ165" s="76"/>
      <c r="AK165" s="76"/>
      <c r="AL165" s="76"/>
      <c r="AM165" s="76"/>
      <c r="AN165" s="76"/>
      <c r="AO165" s="76"/>
      <c r="AP165" s="76"/>
      <c r="AQ165" s="76"/>
      <c r="AR165" s="76"/>
      <c r="AS165" s="76"/>
      <c r="AT165" s="76"/>
      <c r="AU165" s="76"/>
    </row>
    <row r="166" spans="1:47" ht="15" x14ac:dyDescent="0.25">
      <c r="A166" s="82"/>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K166" s="82"/>
      <c r="AL166" s="82"/>
      <c r="AM166" s="82"/>
      <c r="AN166" s="82"/>
      <c r="AO166" s="94"/>
      <c r="AP166" s="54"/>
    </row>
    <row r="167" spans="1:47" ht="15.6" x14ac:dyDescent="0.3">
      <c r="Z167" s="76"/>
      <c r="AA167" s="76"/>
      <c r="AB167" s="76"/>
      <c r="AC167" s="76"/>
      <c r="AD167" s="76"/>
      <c r="AE167" s="76"/>
      <c r="AF167" s="76"/>
      <c r="AG167" s="76"/>
      <c r="AH167" s="76"/>
      <c r="AI167" s="76"/>
      <c r="AJ167" s="76"/>
      <c r="AK167" s="76"/>
      <c r="AL167" s="76"/>
      <c r="AM167" s="76"/>
      <c r="AN167" s="76"/>
      <c r="AO167" s="104"/>
      <c r="AP167" s="105"/>
    </row>
    <row r="168" spans="1:47" ht="15.6" x14ac:dyDescent="0.3">
      <c r="B168" s="76"/>
      <c r="C168" s="76"/>
      <c r="D168" s="76"/>
      <c r="Z168" s="111"/>
      <c r="AA168" s="76"/>
      <c r="AB168" s="76"/>
      <c r="AC168" s="76"/>
      <c r="AD168" s="76"/>
      <c r="AE168" s="76"/>
      <c r="AF168" s="76"/>
      <c r="AG168" s="76"/>
      <c r="AH168" s="76"/>
      <c r="AI168" s="76"/>
      <c r="AJ168" s="76"/>
      <c r="AK168" s="76"/>
      <c r="AL168" s="76"/>
      <c r="AM168" s="76"/>
      <c r="AN168" s="76"/>
      <c r="AO168" s="104"/>
      <c r="AP168" s="105"/>
    </row>
    <row r="169" spans="1:47" ht="22.8" x14ac:dyDescent="0.4">
      <c r="A169" s="112" t="s">
        <v>627</v>
      </c>
      <c r="Z169" s="76"/>
      <c r="AO169" s="104"/>
      <c r="AP169" s="105"/>
    </row>
    <row r="170" spans="1:47" ht="16.2" thickBot="1" x14ac:dyDescent="0.35">
      <c r="Z170" s="76"/>
      <c r="AA170" s="76"/>
      <c r="AB170" s="76"/>
      <c r="AC170" s="76"/>
      <c r="AD170" s="76"/>
      <c r="AE170" s="76"/>
      <c r="AF170" s="76"/>
      <c r="AG170" s="76"/>
      <c r="AH170" s="76"/>
      <c r="AI170" s="76"/>
      <c r="AJ170" s="76"/>
      <c r="AK170" s="76"/>
      <c r="AL170" s="76"/>
      <c r="AM170" s="76"/>
      <c r="AN170" s="76"/>
      <c r="AO170" s="104"/>
      <c r="AP170" s="105"/>
    </row>
    <row r="171" spans="1:47" ht="100.2" customHeight="1" thickBot="1" x14ac:dyDescent="0.55000000000000004">
      <c r="A171" s="214" t="str">
        <f>CONCATENATE(AH8,"                ",AG8)</f>
        <v>SABEL                groot wapen</v>
      </c>
      <c r="B171" s="215"/>
      <c r="C171" s="216" t="str">
        <f>CONCATENATE(AE8,"                     ", AF8)</f>
        <v>LOPER                      gemengd elek./mech.</v>
      </c>
      <c r="D171" s="217"/>
      <c r="E171" s="218"/>
      <c r="F171" s="218"/>
      <c r="G171" s="218"/>
      <c r="H171" s="218"/>
      <c r="I171" s="218"/>
      <c r="J171" s="218"/>
      <c r="K171" s="219"/>
      <c r="L171" s="220">
        <f>AC8</f>
        <v>0</v>
      </c>
      <c r="M171" s="221"/>
      <c r="N171" s="42" t="s">
        <v>503</v>
      </c>
      <c r="O171" s="222" t="s">
        <v>504</v>
      </c>
      <c r="P171" s="223"/>
      <c r="Q171" s="222" t="s">
        <v>505</v>
      </c>
      <c r="R171" s="223"/>
      <c r="S171" s="222" t="s">
        <v>506</v>
      </c>
      <c r="T171" s="223"/>
      <c r="U171" s="234" t="s">
        <v>584</v>
      </c>
      <c r="V171" s="235"/>
      <c r="W171" s="130"/>
      <c r="X171" s="209" t="s">
        <v>447</v>
      </c>
      <c r="Y171" s="132"/>
      <c r="Z171" s="76"/>
      <c r="AA171" s="76"/>
      <c r="AB171" s="76"/>
      <c r="AC171" s="76"/>
      <c r="AD171" s="76"/>
      <c r="AE171" s="76"/>
      <c r="AF171" s="76"/>
      <c r="AG171" s="76"/>
      <c r="AH171" s="76"/>
      <c r="AI171" s="76"/>
      <c r="AJ171" s="76"/>
      <c r="AK171" s="76"/>
      <c r="AL171" s="76"/>
      <c r="AM171" s="76"/>
      <c r="AN171" s="76"/>
      <c r="AO171" s="104"/>
      <c r="AP171" s="105"/>
    </row>
    <row r="172" spans="1:47" ht="16.2" thickBot="1" x14ac:dyDescent="0.35">
      <c r="A172" s="49" t="s">
        <v>508</v>
      </c>
      <c r="B172" s="113"/>
      <c r="C172" s="45">
        <v>1</v>
      </c>
      <c r="D172" s="46">
        <v>2</v>
      </c>
      <c r="E172" s="46">
        <v>3</v>
      </c>
      <c r="F172" s="46">
        <v>4</v>
      </c>
      <c r="G172" s="46">
        <v>5</v>
      </c>
      <c r="H172" s="46">
        <v>6</v>
      </c>
      <c r="I172" s="46">
        <v>7</v>
      </c>
      <c r="J172" s="46">
        <v>8</v>
      </c>
      <c r="K172" s="46">
        <v>9</v>
      </c>
      <c r="L172" s="47">
        <v>10</v>
      </c>
      <c r="M172" s="47">
        <v>11</v>
      </c>
      <c r="N172" s="48">
        <v>12</v>
      </c>
      <c r="O172" s="49" t="s">
        <v>509</v>
      </c>
      <c r="P172" s="50" t="s">
        <v>510</v>
      </c>
      <c r="Q172" s="51" t="s">
        <v>509</v>
      </c>
      <c r="R172" s="48" t="s">
        <v>510</v>
      </c>
      <c r="S172" s="51" t="s">
        <v>509</v>
      </c>
      <c r="T172" s="52" t="s">
        <v>510</v>
      </c>
      <c r="U172" s="236"/>
      <c r="V172" s="237"/>
      <c r="W172" s="131"/>
      <c r="X172" s="131"/>
      <c r="Y172" s="131"/>
      <c r="Z172" s="76"/>
      <c r="AA172" s="76"/>
      <c r="AB172" s="76"/>
      <c r="AC172" s="76"/>
      <c r="AD172" s="76"/>
      <c r="AE172" s="76"/>
      <c r="AF172" s="76"/>
      <c r="AG172" s="76"/>
      <c r="AH172" s="76"/>
      <c r="AI172" s="76"/>
      <c r="AJ172" s="76"/>
      <c r="AK172" s="76"/>
      <c r="AL172" s="76"/>
      <c r="AM172" s="76"/>
      <c r="AN172" s="76"/>
      <c r="AO172" s="104"/>
      <c r="AP172" s="105"/>
    </row>
    <row r="173" spans="1:47" ht="15.75" customHeight="1" x14ac:dyDescent="0.3">
      <c r="A173" s="119"/>
      <c r="B173" s="116">
        <v>1</v>
      </c>
      <c r="C173" s="56"/>
      <c r="D173" s="57"/>
      <c r="E173" s="57"/>
      <c r="F173" s="57"/>
      <c r="G173" s="57"/>
      <c r="H173" s="57"/>
      <c r="I173" s="57"/>
      <c r="J173" s="58"/>
      <c r="K173" s="58"/>
      <c r="L173" s="58"/>
      <c r="M173" s="58"/>
      <c r="N173" s="59"/>
      <c r="O173" s="60"/>
      <c r="P173" s="61"/>
      <c r="Q173" s="60"/>
      <c r="R173" s="61"/>
      <c r="S173" s="60"/>
      <c r="T173" s="62"/>
      <c r="U173" s="224"/>
      <c r="V173" s="225"/>
    </row>
    <row r="174" spans="1:47" ht="15.6" x14ac:dyDescent="0.3">
      <c r="A174" s="119"/>
      <c r="B174" s="117">
        <v>2</v>
      </c>
      <c r="C174" s="67"/>
      <c r="D174" s="68"/>
      <c r="E174" s="69"/>
      <c r="F174" s="69"/>
      <c r="G174" s="69"/>
      <c r="H174" s="69"/>
      <c r="I174" s="69"/>
      <c r="J174" s="70"/>
      <c r="K174" s="70"/>
      <c r="L174" s="70"/>
      <c r="M174" s="70"/>
      <c r="N174" s="59"/>
      <c r="O174" s="60"/>
      <c r="P174" s="61"/>
      <c r="Q174" s="60"/>
      <c r="R174" s="61"/>
      <c r="S174" s="60"/>
      <c r="T174" s="62"/>
      <c r="U174" s="224"/>
      <c r="V174" s="225"/>
    </row>
    <row r="175" spans="1:47" ht="15.6" x14ac:dyDescent="0.3">
      <c r="A175" s="119"/>
      <c r="B175" s="116">
        <v>3</v>
      </c>
      <c r="C175" s="67"/>
      <c r="D175" s="69"/>
      <c r="E175" s="68"/>
      <c r="F175" s="69"/>
      <c r="G175" s="69"/>
      <c r="H175" s="69"/>
      <c r="I175" s="69"/>
      <c r="J175" s="70"/>
      <c r="K175" s="70"/>
      <c r="L175" s="70"/>
      <c r="M175" s="70"/>
      <c r="N175" s="59"/>
      <c r="O175" s="60"/>
      <c r="P175" s="61"/>
      <c r="Q175" s="60"/>
      <c r="R175" s="61"/>
      <c r="S175" s="60"/>
      <c r="T175" s="62"/>
      <c r="U175" s="224"/>
      <c r="V175" s="225"/>
    </row>
    <row r="176" spans="1:47" ht="15.6" x14ac:dyDescent="0.3">
      <c r="A176" s="119"/>
      <c r="B176" s="117">
        <v>4</v>
      </c>
      <c r="C176" s="67"/>
      <c r="D176" s="69"/>
      <c r="E176" s="69"/>
      <c r="F176" s="68"/>
      <c r="G176" s="69"/>
      <c r="H176" s="69"/>
      <c r="I176" s="69"/>
      <c r="J176" s="70"/>
      <c r="K176" s="70"/>
      <c r="L176" s="70"/>
      <c r="M176" s="70"/>
      <c r="N176" s="59"/>
      <c r="O176" s="60"/>
      <c r="P176" s="61"/>
      <c r="Q176" s="60"/>
      <c r="R176" s="61"/>
      <c r="S176" s="60"/>
      <c r="T176" s="62"/>
      <c r="U176" s="224"/>
      <c r="V176" s="225"/>
    </row>
    <row r="177" spans="1:25" ht="15.6" x14ac:dyDescent="0.3">
      <c r="A177" s="119"/>
      <c r="B177" s="116">
        <v>5</v>
      </c>
      <c r="C177" s="67"/>
      <c r="D177" s="69"/>
      <c r="E177" s="69"/>
      <c r="F177" s="69"/>
      <c r="G177" s="68"/>
      <c r="H177" s="69"/>
      <c r="I177" s="69"/>
      <c r="J177" s="70"/>
      <c r="K177" s="70"/>
      <c r="L177" s="70"/>
      <c r="M177" s="70"/>
      <c r="N177" s="59"/>
      <c r="O177" s="60"/>
      <c r="P177" s="61"/>
      <c r="Q177" s="60"/>
      <c r="R177" s="61"/>
      <c r="S177" s="60"/>
      <c r="T177" s="62"/>
      <c r="U177" s="224"/>
      <c r="V177" s="225"/>
    </row>
    <row r="178" spans="1:25" ht="15.6" x14ac:dyDescent="0.3">
      <c r="A178" s="119"/>
      <c r="B178" s="117">
        <v>6</v>
      </c>
      <c r="C178" s="67"/>
      <c r="D178" s="69"/>
      <c r="E178" s="69"/>
      <c r="F178" s="69"/>
      <c r="G178" s="69"/>
      <c r="H178" s="68"/>
      <c r="I178" s="69"/>
      <c r="J178" s="70"/>
      <c r="K178" s="70"/>
      <c r="L178" s="70"/>
      <c r="M178" s="70"/>
      <c r="N178" s="59"/>
      <c r="O178" s="60"/>
      <c r="P178" s="61"/>
      <c r="Q178" s="60"/>
      <c r="R178" s="61"/>
      <c r="S178" s="60"/>
      <c r="T178" s="62"/>
      <c r="U178" s="224"/>
      <c r="V178" s="225"/>
    </row>
    <row r="179" spans="1:25" ht="15.6" x14ac:dyDescent="0.3">
      <c r="A179" s="119"/>
      <c r="B179" s="116">
        <v>7</v>
      </c>
      <c r="C179" s="67"/>
      <c r="D179" s="69"/>
      <c r="E179" s="69"/>
      <c r="F179" s="69"/>
      <c r="G179" s="69"/>
      <c r="H179" s="69"/>
      <c r="I179" s="68"/>
      <c r="J179" s="83"/>
      <c r="K179" s="83"/>
      <c r="L179" s="83"/>
      <c r="M179" s="83"/>
      <c r="N179" s="84"/>
      <c r="O179" s="60"/>
      <c r="P179" s="61"/>
      <c r="Q179" s="60"/>
      <c r="R179" s="61"/>
      <c r="S179" s="60"/>
      <c r="T179" s="62"/>
      <c r="U179" s="224"/>
      <c r="V179" s="225"/>
    </row>
    <row r="180" spans="1:25" ht="15.6" x14ac:dyDescent="0.3">
      <c r="A180" s="119"/>
      <c r="B180" s="117">
        <v>8</v>
      </c>
      <c r="C180" s="87"/>
      <c r="D180" s="88"/>
      <c r="E180" s="88"/>
      <c r="F180" s="88"/>
      <c r="G180" s="88"/>
      <c r="H180" s="88"/>
      <c r="I180" s="89"/>
      <c r="J180" s="90"/>
      <c r="K180" s="91"/>
      <c r="L180" s="91"/>
      <c r="M180" s="91"/>
      <c r="N180" s="84"/>
      <c r="O180" s="60"/>
      <c r="P180" s="61"/>
      <c r="Q180" s="60"/>
      <c r="R180" s="61"/>
      <c r="S180" s="60"/>
      <c r="T180" s="62"/>
      <c r="U180" s="224"/>
      <c r="V180" s="225"/>
    </row>
    <row r="181" spans="1:25" ht="15.6" x14ac:dyDescent="0.3">
      <c r="A181" s="119"/>
      <c r="B181" s="116">
        <v>9</v>
      </c>
      <c r="C181" s="87"/>
      <c r="D181" s="88"/>
      <c r="E181" s="88"/>
      <c r="F181" s="88"/>
      <c r="G181" s="88"/>
      <c r="H181" s="88"/>
      <c r="I181" s="89"/>
      <c r="J181" s="91"/>
      <c r="K181" s="90"/>
      <c r="L181" s="91"/>
      <c r="M181" s="91"/>
      <c r="N181" s="84"/>
      <c r="O181" s="60"/>
      <c r="P181" s="61"/>
      <c r="Q181" s="60"/>
      <c r="R181" s="61"/>
      <c r="S181" s="60"/>
      <c r="T181" s="62"/>
      <c r="U181" s="224"/>
      <c r="V181" s="225"/>
    </row>
    <row r="182" spans="1:25" ht="15.6" x14ac:dyDescent="0.3">
      <c r="A182" s="119"/>
      <c r="B182" s="117">
        <v>10</v>
      </c>
      <c r="C182" s="87"/>
      <c r="D182" s="88"/>
      <c r="E182" s="88"/>
      <c r="F182" s="88"/>
      <c r="G182" s="88"/>
      <c r="H182" s="88"/>
      <c r="I182" s="89"/>
      <c r="J182" s="91"/>
      <c r="K182" s="91"/>
      <c r="L182" s="90"/>
      <c r="M182" s="91"/>
      <c r="N182" s="84"/>
      <c r="O182" s="60"/>
      <c r="P182" s="61"/>
      <c r="Q182" s="60"/>
      <c r="R182" s="61"/>
      <c r="S182" s="60"/>
      <c r="T182" s="62"/>
      <c r="U182" s="224"/>
      <c r="V182" s="225"/>
    </row>
    <row r="183" spans="1:25" ht="15.6" x14ac:dyDescent="0.3">
      <c r="A183" s="119"/>
      <c r="B183" s="116">
        <v>11</v>
      </c>
      <c r="C183" s="87"/>
      <c r="D183" s="88"/>
      <c r="E183" s="88"/>
      <c r="F183" s="88"/>
      <c r="G183" s="88"/>
      <c r="H183" s="88"/>
      <c r="I183" s="89"/>
      <c r="J183" s="91"/>
      <c r="K183" s="91"/>
      <c r="L183" s="91"/>
      <c r="M183" s="90"/>
      <c r="N183" s="84"/>
      <c r="O183" s="60"/>
      <c r="P183" s="61"/>
      <c r="Q183" s="60"/>
      <c r="R183" s="61"/>
      <c r="S183" s="60"/>
      <c r="T183" s="62"/>
      <c r="U183" s="224"/>
      <c r="V183" s="225"/>
    </row>
    <row r="184" spans="1:25" ht="16.2" thickBot="1" x14ac:dyDescent="0.35">
      <c r="A184" s="121"/>
      <c r="B184" s="122">
        <v>12</v>
      </c>
      <c r="C184" s="97"/>
      <c r="D184" s="98"/>
      <c r="E184" s="98"/>
      <c r="F184" s="98"/>
      <c r="G184" s="98"/>
      <c r="H184" s="98"/>
      <c r="I184" s="98"/>
      <c r="J184" s="99"/>
      <c r="K184" s="99"/>
      <c r="L184" s="99"/>
      <c r="M184" s="99"/>
      <c r="N184" s="100"/>
      <c r="O184" s="101"/>
      <c r="P184" s="102"/>
      <c r="Q184" s="101"/>
      <c r="R184" s="102"/>
      <c r="S184" s="101"/>
      <c r="T184" s="103"/>
      <c r="U184" s="231"/>
      <c r="V184" s="232"/>
    </row>
    <row r="186" spans="1:25" x14ac:dyDescent="0.25">
      <c r="A186" s="76" t="s">
        <v>556</v>
      </c>
    </row>
    <row r="187" spans="1:25" x14ac:dyDescent="0.25">
      <c r="A187" s="111"/>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row>
    <row r="188" spans="1:25" ht="15" x14ac:dyDescent="0.25">
      <c r="A188" s="76"/>
      <c r="L188" s="82"/>
      <c r="M188" s="82"/>
      <c r="N188" s="82"/>
      <c r="O188" s="82"/>
      <c r="P188" s="94"/>
      <c r="Q188" s="54"/>
    </row>
    <row r="189" spans="1:25" x14ac:dyDescent="0.25">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row>
    <row r="191" spans="1:25" x14ac:dyDescent="0.25">
      <c r="A191" s="82"/>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row>
    <row r="193" spans="1:25" x14ac:dyDescent="0.25">
      <c r="B193" s="76"/>
      <c r="C193" s="76"/>
      <c r="D193" s="76"/>
    </row>
    <row r="194" spans="1:25" ht="22.8" x14ac:dyDescent="0.4">
      <c r="A194" s="112" t="s">
        <v>627</v>
      </c>
    </row>
    <row r="195" spans="1:25" ht="13.8" thickBot="1" x14ac:dyDescent="0.3"/>
    <row r="196" spans="1:25" ht="100.2" customHeight="1" thickBot="1" x14ac:dyDescent="0.55000000000000004">
      <c r="A196" s="214" t="str">
        <f>CONCATENATE(AH9,"                ",AG9)</f>
        <v>SABEL                groot wapen</v>
      </c>
      <c r="B196" s="215"/>
      <c r="C196" s="216" t="str">
        <f>CONCATENATE(AE9,"                     ", AF9)</f>
        <v>LOPER                      gemengd elek./mech.</v>
      </c>
      <c r="D196" s="217"/>
      <c r="E196" s="218"/>
      <c r="F196" s="218"/>
      <c r="G196" s="218"/>
      <c r="H196" s="218"/>
      <c r="I196" s="218"/>
      <c r="J196" s="218"/>
      <c r="K196" s="219"/>
      <c r="L196" s="220">
        <f>AC9</f>
        <v>0</v>
      </c>
      <c r="M196" s="221"/>
      <c r="N196" s="42" t="s">
        <v>503</v>
      </c>
      <c r="O196" s="222" t="s">
        <v>504</v>
      </c>
      <c r="P196" s="223"/>
      <c r="Q196" s="222" t="s">
        <v>505</v>
      </c>
      <c r="R196" s="223"/>
      <c r="S196" s="222" t="s">
        <v>506</v>
      </c>
      <c r="T196" s="223"/>
      <c r="U196" s="234" t="s">
        <v>584</v>
      </c>
      <c r="V196" s="235"/>
      <c r="W196" s="130"/>
      <c r="X196" s="209" t="s">
        <v>454</v>
      </c>
      <c r="Y196" s="132"/>
    </row>
    <row r="197" spans="1:25" ht="16.2" thickBot="1" x14ac:dyDescent="0.35">
      <c r="A197" s="49" t="s">
        <v>508</v>
      </c>
      <c r="B197" s="113"/>
      <c r="C197" s="45">
        <v>1</v>
      </c>
      <c r="D197" s="46">
        <v>2</v>
      </c>
      <c r="E197" s="46">
        <v>3</v>
      </c>
      <c r="F197" s="46">
        <v>4</v>
      </c>
      <c r="G197" s="46">
        <v>5</v>
      </c>
      <c r="H197" s="46">
        <v>6</v>
      </c>
      <c r="I197" s="46">
        <v>7</v>
      </c>
      <c r="J197" s="46">
        <v>8</v>
      </c>
      <c r="K197" s="46">
        <v>9</v>
      </c>
      <c r="L197" s="47">
        <v>10</v>
      </c>
      <c r="M197" s="47">
        <v>11</v>
      </c>
      <c r="N197" s="48">
        <v>12</v>
      </c>
      <c r="O197" s="49" t="s">
        <v>509</v>
      </c>
      <c r="P197" s="50" t="s">
        <v>510</v>
      </c>
      <c r="Q197" s="51" t="s">
        <v>509</v>
      </c>
      <c r="R197" s="48" t="s">
        <v>510</v>
      </c>
      <c r="S197" s="51" t="s">
        <v>509</v>
      </c>
      <c r="T197" s="52" t="s">
        <v>510</v>
      </c>
      <c r="U197" s="236"/>
      <c r="V197" s="237"/>
      <c r="W197" s="131"/>
      <c r="X197" s="131"/>
      <c r="Y197" s="131"/>
    </row>
    <row r="198" spans="1:25" ht="17.25" customHeight="1" x14ac:dyDescent="0.3">
      <c r="A198" s="119"/>
      <c r="B198" s="116">
        <v>1</v>
      </c>
      <c r="C198" s="56"/>
      <c r="D198" s="57"/>
      <c r="E198" s="57"/>
      <c r="F198" s="57"/>
      <c r="G198" s="57"/>
      <c r="H198" s="57"/>
      <c r="I198" s="57"/>
      <c r="J198" s="58"/>
      <c r="K198" s="58"/>
      <c r="L198" s="58"/>
      <c r="M198" s="58"/>
      <c r="N198" s="59"/>
      <c r="O198" s="60"/>
      <c r="P198" s="61"/>
      <c r="Q198" s="60"/>
      <c r="R198" s="61"/>
      <c r="S198" s="60"/>
      <c r="T198" s="62"/>
      <c r="U198" s="224"/>
      <c r="V198" s="225"/>
    </row>
    <row r="199" spans="1:25" ht="15.6" x14ac:dyDescent="0.3">
      <c r="A199" s="119"/>
      <c r="B199" s="117">
        <v>2</v>
      </c>
      <c r="C199" s="67"/>
      <c r="D199" s="68"/>
      <c r="E199" s="69"/>
      <c r="F199" s="69"/>
      <c r="G199" s="69"/>
      <c r="H199" s="69"/>
      <c r="I199" s="69"/>
      <c r="J199" s="70"/>
      <c r="K199" s="70"/>
      <c r="L199" s="70"/>
      <c r="M199" s="70"/>
      <c r="N199" s="59"/>
      <c r="O199" s="60"/>
      <c r="P199" s="61"/>
      <c r="Q199" s="60"/>
      <c r="R199" s="61"/>
      <c r="S199" s="60"/>
      <c r="T199" s="62"/>
      <c r="U199" s="224"/>
      <c r="V199" s="225"/>
    </row>
    <row r="200" spans="1:25" ht="15.6" x14ac:dyDescent="0.3">
      <c r="A200" s="119"/>
      <c r="B200" s="116">
        <v>3</v>
      </c>
      <c r="C200" s="67"/>
      <c r="D200" s="69"/>
      <c r="E200" s="68"/>
      <c r="F200" s="69"/>
      <c r="G200" s="69"/>
      <c r="H200" s="69"/>
      <c r="I200" s="69"/>
      <c r="J200" s="70"/>
      <c r="K200" s="70"/>
      <c r="L200" s="70"/>
      <c r="M200" s="70"/>
      <c r="N200" s="59"/>
      <c r="O200" s="60"/>
      <c r="P200" s="61"/>
      <c r="Q200" s="60"/>
      <c r="R200" s="61"/>
      <c r="S200" s="60"/>
      <c r="T200" s="62"/>
      <c r="U200" s="224"/>
      <c r="V200" s="225"/>
    </row>
    <row r="201" spans="1:25" ht="15.6" x14ac:dyDescent="0.3">
      <c r="A201" s="119"/>
      <c r="B201" s="117">
        <v>4</v>
      </c>
      <c r="C201" s="67"/>
      <c r="D201" s="69"/>
      <c r="E201" s="69"/>
      <c r="F201" s="68"/>
      <c r="G201" s="69"/>
      <c r="H201" s="69"/>
      <c r="I201" s="69"/>
      <c r="J201" s="70"/>
      <c r="K201" s="70"/>
      <c r="L201" s="70"/>
      <c r="M201" s="70"/>
      <c r="N201" s="59"/>
      <c r="O201" s="60"/>
      <c r="P201" s="61"/>
      <c r="Q201" s="60"/>
      <c r="R201" s="61"/>
      <c r="S201" s="60"/>
      <c r="T201" s="62"/>
      <c r="U201" s="224"/>
      <c r="V201" s="225"/>
    </row>
    <row r="202" spans="1:25" ht="15.6" x14ac:dyDescent="0.3">
      <c r="A202" s="119"/>
      <c r="B202" s="116">
        <v>5</v>
      </c>
      <c r="C202" s="67"/>
      <c r="D202" s="69"/>
      <c r="E202" s="69"/>
      <c r="F202" s="69"/>
      <c r="G202" s="68"/>
      <c r="H202" s="69"/>
      <c r="I202" s="69"/>
      <c r="J202" s="70"/>
      <c r="K202" s="70"/>
      <c r="L202" s="70"/>
      <c r="M202" s="70"/>
      <c r="N202" s="59"/>
      <c r="O202" s="60"/>
      <c r="P202" s="61"/>
      <c r="Q202" s="60"/>
      <c r="R202" s="61"/>
      <c r="S202" s="60"/>
      <c r="T202" s="62"/>
      <c r="U202" s="224"/>
      <c r="V202" s="225"/>
    </row>
    <row r="203" spans="1:25" ht="15.6" x14ac:dyDescent="0.3">
      <c r="A203" s="119"/>
      <c r="B203" s="117">
        <v>6</v>
      </c>
      <c r="C203" s="67"/>
      <c r="D203" s="69"/>
      <c r="E203" s="69"/>
      <c r="F203" s="69"/>
      <c r="G203" s="69"/>
      <c r="H203" s="68"/>
      <c r="I203" s="69"/>
      <c r="J203" s="70"/>
      <c r="K203" s="70"/>
      <c r="L203" s="70"/>
      <c r="M203" s="70"/>
      <c r="N203" s="59"/>
      <c r="O203" s="60"/>
      <c r="P203" s="61"/>
      <c r="Q203" s="60"/>
      <c r="R203" s="61"/>
      <c r="S203" s="60"/>
      <c r="T203" s="62"/>
      <c r="U203" s="224"/>
      <c r="V203" s="225"/>
    </row>
    <row r="204" spans="1:25" ht="15.6" x14ac:dyDescent="0.3">
      <c r="A204" s="119"/>
      <c r="B204" s="116">
        <v>7</v>
      </c>
      <c r="C204" s="67"/>
      <c r="D204" s="69"/>
      <c r="E204" s="69"/>
      <c r="F204" s="69"/>
      <c r="G204" s="69"/>
      <c r="H204" s="69"/>
      <c r="I204" s="68"/>
      <c r="J204" s="83"/>
      <c r="K204" s="83"/>
      <c r="L204" s="83"/>
      <c r="M204" s="83"/>
      <c r="N204" s="84"/>
      <c r="O204" s="60"/>
      <c r="P204" s="61"/>
      <c r="Q204" s="60"/>
      <c r="R204" s="61"/>
      <c r="S204" s="60"/>
      <c r="T204" s="62"/>
      <c r="U204" s="224"/>
      <c r="V204" s="225"/>
    </row>
    <row r="205" spans="1:25" ht="15.6" x14ac:dyDescent="0.3">
      <c r="A205" s="119"/>
      <c r="B205" s="117">
        <v>8</v>
      </c>
      <c r="C205" s="87"/>
      <c r="D205" s="88"/>
      <c r="E205" s="88"/>
      <c r="F205" s="88"/>
      <c r="G205" s="88"/>
      <c r="H205" s="88"/>
      <c r="I205" s="89"/>
      <c r="J205" s="90"/>
      <c r="K205" s="91"/>
      <c r="L205" s="91"/>
      <c r="M205" s="91"/>
      <c r="N205" s="84"/>
      <c r="O205" s="60"/>
      <c r="P205" s="61"/>
      <c r="Q205" s="60"/>
      <c r="R205" s="61"/>
      <c r="S205" s="60"/>
      <c r="T205" s="62"/>
      <c r="U205" s="224"/>
      <c r="V205" s="225"/>
    </row>
    <row r="206" spans="1:25" ht="15.6" x14ac:dyDescent="0.3">
      <c r="A206" s="119"/>
      <c r="B206" s="116">
        <v>9</v>
      </c>
      <c r="C206" s="87"/>
      <c r="D206" s="88"/>
      <c r="E206" s="88"/>
      <c r="F206" s="88"/>
      <c r="G206" s="88"/>
      <c r="H206" s="88"/>
      <c r="I206" s="89"/>
      <c r="J206" s="91"/>
      <c r="K206" s="90"/>
      <c r="L206" s="91"/>
      <c r="M206" s="91"/>
      <c r="N206" s="84"/>
      <c r="O206" s="60"/>
      <c r="P206" s="61"/>
      <c r="Q206" s="60"/>
      <c r="R206" s="61"/>
      <c r="S206" s="60"/>
      <c r="T206" s="62"/>
      <c r="U206" s="224"/>
      <c r="V206" s="225"/>
    </row>
    <row r="207" spans="1:25" ht="15.6" x14ac:dyDescent="0.3">
      <c r="A207" s="119"/>
      <c r="B207" s="117">
        <v>10</v>
      </c>
      <c r="C207" s="87"/>
      <c r="D207" s="88"/>
      <c r="E207" s="88"/>
      <c r="F207" s="88"/>
      <c r="G207" s="88"/>
      <c r="H207" s="88"/>
      <c r="I207" s="89"/>
      <c r="J207" s="91"/>
      <c r="K207" s="91"/>
      <c r="L207" s="90"/>
      <c r="M207" s="91"/>
      <c r="N207" s="84"/>
      <c r="O207" s="60"/>
      <c r="P207" s="61"/>
      <c r="Q207" s="60"/>
      <c r="R207" s="61"/>
      <c r="S207" s="60"/>
      <c r="T207" s="62"/>
      <c r="U207" s="224"/>
      <c r="V207" s="225"/>
    </row>
    <row r="208" spans="1:25" ht="15.6" x14ac:dyDescent="0.3">
      <c r="A208" s="119"/>
      <c r="B208" s="116">
        <v>11</v>
      </c>
      <c r="C208" s="87"/>
      <c r="D208" s="88"/>
      <c r="E208" s="88"/>
      <c r="F208" s="88"/>
      <c r="G208" s="88"/>
      <c r="H208" s="88"/>
      <c r="I208" s="89"/>
      <c r="J208" s="91"/>
      <c r="K208" s="91"/>
      <c r="L208" s="91"/>
      <c r="M208" s="90"/>
      <c r="N208" s="84"/>
      <c r="O208" s="60"/>
      <c r="P208" s="61"/>
      <c r="Q208" s="60"/>
      <c r="R208" s="61"/>
      <c r="S208" s="60"/>
      <c r="T208" s="62"/>
      <c r="U208" s="224"/>
      <c r="V208" s="225"/>
    </row>
    <row r="209" spans="1:25" ht="16.2" thickBot="1" x14ac:dyDescent="0.35">
      <c r="A209" s="121"/>
      <c r="B209" s="122">
        <v>12</v>
      </c>
      <c r="C209" s="97"/>
      <c r="D209" s="98"/>
      <c r="E209" s="98"/>
      <c r="F209" s="98"/>
      <c r="G209" s="98"/>
      <c r="H209" s="98"/>
      <c r="I209" s="98"/>
      <c r="J209" s="99"/>
      <c r="K209" s="99"/>
      <c r="L209" s="99"/>
      <c r="M209" s="99"/>
      <c r="N209" s="100"/>
      <c r="O209" s="101"/>
      <c r="P209" s="102"/>
      <c r="Q209" s="101"/>
      <c r="R209" s="102"/>
      <c r="S209" s="101"/>
      <c r="T209" s="103"/>
      <c r="U209" s="231"/>
      <c r="V209" s="232"/>
    </row>
    <row r="211" spans="1:25" x14ac:dyDescent="0.25">
      <c r="A211" s="76" t="s">
        <v>556</v>
      </c>
    </row>
    <row r="212" spans="1:25" x14ac:dyDescent="0.25">
      <c r="A212" s="111"/>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1:25" ht="15.6" x14ac:dyDescent="0.3">
      <c r="A213" s="76"/>
      <c r="P213" s="104"/>
      <c r="Q213" s="105"/>
    </row>
    <row r="214" spans="1:25" x14ac:dyDescent="0.25">
      <c r="A214" s="76"/>
      <c r="B214" s="76"/>
      <c r="C214" s="76"/>
      <c r="D214" s="76"/>
      <c r="E214" s="76"/>
      <c r="F214" s="76"/>
      <c r="G214" s="76"/>
      <c r="H214" s="76"/>
      <c r="I214" s="76"/>
      <c r="J214" s="76"/>
      <c r="K214" s="76"/>
      <c r="L214" s="76"/>
      <c r="M214" s="76"/>
      <c r="N214" s="76"/>
      <c r="O214" s="76"/>
      <c r="P214" s="76"/>
      <c r="Q214" s="54"/>
      <c r="W214" s="76"/>
      <c r="X214" s="76"/>
      <c r="Y214" s="76"/>
    </row>
    <row r="215" spans="1:25" ht="15" x14ac:dyDescent="0.25">
      <c r="A215" s="82"/>
      <c r="H215" s="82"/>
      <c r="I215" s="82"/>
      <c r="J215" s="82"/>
      <c r="K215" s="82"/>
      <c r="L215" s="82"/>
      <c r="M215" s="82"/>
      <c r="N215" s="82"/>
      <c r="O215" s="82"/>
      <c r="P215" s="94"/>
      <c r="Q215" s="54"/>
    </row>
    <row r="219" spans="1:25" ht="22.8" x14ac:dyDescent="0.4">
      <c r="A219" s="112" t="s">
        <v>627</v>
      </c>
    </row>
    <row r="220" spans="1:25" ht="13.8" thickBot="1" x14ac:dyDescent="0.3"/>
    <row r="221" spans="1:25" ht="100.2" customHeight="1" thickBot="1" x14ac:dyDescent="0.55000000000000004">
      <c r="A221" s="214" t="str">
        <f>CONCATENATE(AH10,"                ",AG10)</f>
        <v>SABEL                groot wapen</v>
      </c>
      <c r="B221" s="215"/>
      <c r="C221" s="216" t="str">
        <f>CONCATENATE(AE10,"                     ", AF10)</f>
        <v>LOPER                      gemengd elek./mech.</v>
      </c>
      <c r="D221" s="217"/>
      <c r="E221" s="218"/>
      <c r="F221" s="218"/>
      <c r="G221" s="218"/>
      <c r="H221" s="218"/>
      <c r="I221" s="218"/>
      <c r="J221" s="218"/>
      <c r="K221" s="219"/>
      <c r="L221" s="220">
        <f>AC10</f>
        <v>0</v>
      </c>
      <c r="M221" s="221"/>
      <c r="N221" s="42" t="s">
        <v>503</v>
      </c>
      <c r="O221" s="222" t="s">
        <v>504</v>
      </c>
      <c r="P221" s="223"/>
      <c r="Q221" s="222" t="s">
        <v>505</v>
      </c>
      <c r="R221" s="223"/>
      <c r="S221" s="222" t="s">
        <v>506</v>
      </c>
      <c r="T221" s="223"/>
      <c r="U221" s="234" t="s">
        <v>584</v>
      </c>
      <c r="V221" s="235"/>
      <c r="W221" s="130"/>
      <c r="X221" s="211" t="s">
        <v>461</v>
      </c>
      <c r="Y221" s="132"/>
    </row>
    <row r="222" spans="1:25" ht="16.2" thickBot="1" x14ac:dyDescent="0.35">
      <c r="A222" s="49" t="s">
        <v>508</v>
      </c>
      <c r="B222" s="113"/>
      <c r="C222" s="45">
        <v>1</v>
      </c>
      <c r="D222" s="46">
        <v>2</v>
      </c>
      <c r="E222" s="46">
        <v>3</v>
      </c>
      <c r="F222" s="46">
        <v>4</v>
      </c>
      <c r="G222" s="46">
        <v>5</v>
      </c>
      <c r="H222" s="46">
        <v>6</v>
      </c>
      <c r="I222" s="46">
        <v>7</v>
      </c>
      <c r="J222" s="46">
        <v>8</v>
      </c>
      <c r="K222" s="46">
        <v>9</v>
      </c>
      <c r="L222" s="47">
        <v>10</v>
      </c>
      <c r="M222" s="47">
        <v>11</v>
      </c>
      <c r="N222" s="48">
        <v>12</v>
      </c>
      <c r="O222" s="49" t="s">
        <v>509</v>
      </c>
      <c r="P222" s="50" t="s">
        <v>510</v>
      </c>
      <c r="Q222" s="51" t="s">
        <v>509</v>
      </c>
      <c r="R222" s="48" t="s">
        <v>510</v>
      </c>
      <c r="S222" s="51" t="s">
        <v>509</v>
      </c>
      <c r="T222" s="52" t="s">
        <v>510</v>
      </c>
      <c r="U222" s="236"/>
      <c r="V222" s="237"/>
      <c r="W222" s="131"/>
      <c r="X222" s="131"/>
      <c r="Y222" s="131"/>
    </row>
    <row r="223" spans="1:25" ht="15.6" x14ac:dyDescent="0.3">
      <c r="A223" s="119"/>
      <c r="B223" s="116">
        <v>1</v>
      </c>
      <c r="C223" s="56"/>
      <c r="D223" s="57"/>
      <c r="E223" s="57"/>
      <c r="F223" s="57"/>
      <c r="G223" s="57"/>
      <c r="H223" s="57"/>
      <c r="I223" s="57"/>
      <c r="J223" s="58"/>
      <c r="K223" s="58"/>
      <c r="L223" s="58"/>
      <c r="M223" s="58"/>
      <c r="N223" s="59"/>
      <c r="O223" s="60"/>
      <c r="P223" s="61"/>
      <c r="Q223" s="60"/>
      <c r="R223" s="61"/>
      <c r="S223" s="60"/>
      <c r="T223" s="62"/>
      <c r="U223" s="224"/>
      <c r="V223" s="225"/>
    </row>
    <row r="224" spans="1:25" ht="15.6" x14ac:dyDescent="0.3">
      <c r="A224" s="119"/>
      <c r="B224" s="117">
        <v>2</v>
      </c>
      <c r="C224" s="67"/>
      <c r="D224" s="68"/>
      <c r="E224" s="69"/>
      <c r="F224" s="69"/>
      <c r="G224" s="69"/>
      <c r="H224" s="69"/>
      <c r="I224" s="69"/>
      <c r="J224" s="70"/>
      <c r="K224" s="70"/>
      <c r="L224" s="70"/>
      <c r="M224" s="70"/>
      <c r="N224" s="59"/>
      <c r="O224" s="60"/>
      <c r="P224" s="61"/>
      <c r="Q224" s="60"/>
      <c r="R224" s="61"/>
      <c r="S224" s="60"/>
      <c r="T224" s="62"/>
      <c r="U224" s="224"/>
      <c r="V224" s="225"/>
    </row>
    <row r="225" spans="1:25" ht="15.6" x14ac:dyDescent="0.3">
      <c r="A225" s="119"/>
      <c r="B225" s="116">
        <v>3</v>
      </c>
      <c r="C225" s="67"/>
      <c r="D225" s="69"/>
      <c r="E225" s="68"/>
      <c r="F225" s="69"/>
      <c r="G225" s="69"/>
      <c r="H225" s="69"/>
      <c r="I225" s="69"/>
      <c r="J225" s="70"/>
      <c r="K225" s="70"/>
      <c r="L225" s="70"/>
      <c r="M225" s="70"/>
      <c r="N225" s="59"/>
      <c r="O225" s="60"/>
      <c r="P225" s="61"/>
      <c r="Q225" s="60"/>
      <c r="R225" s="61"/>
      <c r="S225" s="60"/>
      <c r="T225" s="62"/>
      <c r="U225" s="224"/>
      <c r="V225" s="225"/>
    </row>
    <row r="226" spans="1:25" ht="15.6" x14ac:dyDescent="0.3">
      <c r="A226" s="119"/>
      <c r="B226" s="117">
        <v>4</v>
      </c>
      <c r="C226" s="67"/>
      <c r="D226" s="69"/>
      <c r="E226" s="69"/>
      <c r="F226" s="68"/>
      <c r="G226" s="69"/>
      <c r="H226" s="69"/>
      <c r="I226" s="69"/>
      <c r="J226" s="70"/>
      <c r="K226" s="70"/>
      <c r="L226" s="70"/>
      <c r="M226" s="70"/>
      <c r="N226" s="59"/>
      <c r="O226" s="60"/>
      <c r="P226" s="61"/>
      <c r="Q226" s="60"/>
      <c r="R226" s="61"/>
      <c r="S226" s="60"/>
      <c r="T226" s="62"/>
      <c r="U226" s="224"/>
      <c r="V226" s="225"/>
    </row>
    <row r="227" spans="1:25" ht="15.6" x14ac:dyDescent="0.3">
      <c r="A227" s="119"/>
      <c r="B227" s="116">
        <v>5</v>
      </c>
      <c r="C227" s="67"/>
      <c r="D227" s="69"/>
      <c r="E227" s="69"/>
      <c r="F227" s="69"/>
      <c r="G227" s="68"/>
      <c r="H227" s="69"/>
      <c r="I227" s="69"/>
      <c r="J227" s="70"/>
      <c r="K227" s="70"/>
      <c r="L227" s="70"/>
      <c r="M227" s="70"/>
      <c r="N227" s="59"/>
      <c r="O227" s="60"/>
      <c r="P227" s="61"/>
      <c r="Q227" s="60"/>
      <c r="R227" s="61"/>
      <c r="S227" s="60"/>
      <c r="T227" s="62"/>
      <c r="U227" s="224"/>
      <c r="V227" s="225"/>
    </row>
    <row r="228" spans="1:25" ht="15.6" x14ac:dyDescent="0.3">
      <c r="A228" s="119"/>
      <c r="B228" s="117">
        <v>6</v>
      </c>
      <c r="C228" s="67"/>
      <c r="D228" s="69"/>
      <c r="E228" s="69"/>
      <c r="F228" s="69"/>
      <c r="G228" s="69"/>
      <c r="H228" s="68"/>
      <c r="I228" s="69"/>
      <c r="J228" s="70"/>
      <c r="K228" s="70"/>
      <c r="L228" s="70"/>
      <c r="M228" s="70"/>
      <c r="N228" s="59"/>
      <c r="O228" s="60"/>
      <c r="P228" s="61"/>
      <c r="Q228" s="60"/>
      <c r="R228" s="61"/>
      <c r="S228" s="60"/>
      <c r="T228" s="62"/>
      <c r="U228" s="224"/>
      <c r="V228" s="225"/>
    </row>
    <row r="229" spans="1:25" ht="15.6" x14ac:dyDescent="0.3">
      <c r="A229" s="119"/>
      <c r="B229" s="116">
        <v>7</v>
      </c>
      <c r="C229" s="67"/>
      <c r="D229" s="69"/>
      <c r="E229" s="69"/>
      <c r="F229" s="69"/>
      <c r="G229" s="69"/>
      <c r="H229" s="69"/>
      <c r="I229" s="68"/>
      <c r="J229" s="83"/>
      <c r="K229" s="83"/>
      <c r="L229" s="83"/>
      <c r="M229" s="83"/>
      <c r="N229" s="84"/>
      <c r="O229" s="60"/>
      <c r="P229" s="61"/>
      <c r="Q229" s="60"/>
      <c r="R229" s="61"/>
      <c r="S229" s="60"/>
      <c r="T229" s="62"/>
      <c r="U229" s="224"/>
      <c r="V229" s="225"/>
    </row>
    <row r="230" spans="1:25" ht="15.6" x14ac:dyDescent="0.3">
      <c r="A230" s="119"/>
      <c r="B230" s="117">
        <v>8</v>
      </c>
      <c r="C230" s="87"/>
      <c r="D230" s="88"/>
      <c r="E230" s="88"/>
      <c r="F230" s="88"/>
      <c r="G230" s="88"/>
      <c r="H230" s="88"/>
      <c r="I230" s="89"/>
      <c r="J230" s="90"/>
      <c r="K230" s="91"/>
      <c r="L230" s="91"/>
      <c r="M230" s="91"/>
      <c r="N230" s="84"/>
      <c r="O230" s="60"/>
      <c r="P230" s="61"/>
      <c r="Q230" s="60"/>
      <c r="R230" s="61"/>
      <c r="S230" s="60"/>
      <c r="T230" s="62"/>
      <c r="U230" s="224"/>
      <c r="V230" s="225"/>
    </row>
    <row r="231" spans="1:25" ht="15.6" x14ac:dyDescent="0.3">
      <c r="A231" s="119"/>
      <c r="B231" s="116">
        <v>9</v>
      </c>
      <c r="C231" s="87"/>
      <c r="D231" s="88"/>
      <c r="E231" s="88"/>
      <c r="F231" s="88"/>
      <c r="G231" s="88"/>
      <c r="H231" s="88"/>
      <c r="I231" s="89"/>
      <c r="J231" s="91"/>
      <c r="K231" s="90"/>
      <c r="L231" s="91"/>
      <c r="M231" s="91"/>
      <c r="N231" s="84"/>
      <c r="O231" s="60"/>
      <c r="P231" s="61"/>
      <c r="Q231" s="60"/>
      <c r="R231" s="61"/>
      <c r="S231" s="60"/>
      <c r="T231" s="62"/>
      <c r="U231" s="224"/>
      <c r="V231" s="225"/>
    </row>
    <row r="232" spans="1:25" ht="15.6" x14ac:dyDescent="0.3">
      <c r="A232" s="119"/>
      <c r="B232" s="117">
        <v>10</v>
      </c>
      <c r="C232" s="87"/>
      <c r="D232" s="88"/>
      <c r="E232" s="88"/>
      <c r="F232" s="88"/>
      <c r="G232" s="88"/>
      <c r="H232" s="88"/>
      <c r="I232" s="89"/>
      <c r="J232" s="91"/>
      <c r="K232" s="91"/>
      <c r="L232" s="90"/>
      <c r="M232" s="91"/>
      <c r="N232" s="84"/>
      <c r="O232" s="60"/>
      <c r="P232" s="61"/>
      <c r="Q232" s="60"/>
      <c r="R232" s="61"/>
      <c r="S232" s="60"/>
      <c r="T232" s="62"/>
      <c r="U232" s="224"/>
      <c r="V232" s="225"/>
    </row>
    <row r="233" spans="1:25" ht="15.6" x14ac:dyDescent="0.3">
      <c r="A233" s="119"/>
      <c r="B233" s="116">
        <v>11</v>
      </c>
      <c r="C233" s="87"/>
      <c r="D233" s="88"/>
      <c r="E233" s="88"/>
      <c r="F233" s="88"/>
      <c r="G233" s="88"/>
      <c r="H233" s="88"/>
      <c r="I233" s="89"/>
      <c r="J233" s="91"/>
      <c r="K233" s="91"/>
      <c r="L233" s="91"/>
      <c r="M233" s="90"/>
      <c r="N233" s="84"/>
      <c r="O233" s="60"/>
      <c r="P233" s="61"/>
      <c r="Q233" s="60"/>
      <c r="R233" s="61"/>
      <c r="S233" s="60"/>
      <c r="T233" s="62"/>
      <c r="U233" s="224"/>
      <c r="V233" s="225"/>
    </row>
    <row r="234" spans="1:25" ht="16.2" thickBot="1" x14ac:dyDescent="0.35">
      <c r="A234" s="121"/>
      <c r="B234" s="122">
        <v>12</v>
      </c>
      <c r="C234" s="97"/>
      <c r="D234" s="98"/>
      <c r="E234" s="98"/>
      <c r="F234" s="98"/>
      <c r="G234" s="98"/>
      <c r="H234" s="98"/>
      <c r="I234" s="98"/>
      <c r="J234" s="99"/>
      <c r="K234" s="99"/>
      <c r="L234" s="99"/>
      <c r="M234" s="99"/>
      <c r="N234" s="100"/>
      <c r="O234" s="101"/>
      <c r="P234" s="102"/>
      <c r="Q234" s="101"/>
      <c r="R234" s="102"/>
      <c r="S234" s="101"/>
      <c r="T234" s="103"/>
      <c r="U234" s="231"/>
      <c r="V234" s="232"/>
    </row>
    <row r="236" spans="1:25" x14ac:dyDescent="0.25">
      <c r="A236" s="76" t="s">
        <v>556</v>
      </c>
    </row>
    <row r="237" spans="1:25" x14ac:dyDescent="0.25">
      <c r="A237" s="111"/>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row>
    <row r="238" spans="1:25" x14ac:dyDescent="0.25">
      <c r="A238" s="76"/>
    </row>
    <row r="239" spans="1:25" x14ac:dyDescent="0.2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row>
    <row r="240" spans="1:25" ht="15" x14ac:dyDescent="0.25">
      <c r="A240" s="82"/>
      <c r="H240" s="82"/>
      <c r="I240" s="82"/>
      <c r="J240" s="82"/>
      <c r="K240" s="82"/>
      <c r="L240" s="82"/>
      <c r="M240" s="82"/>
      <c r="N240" s="82"/>
      <c r="O240" s="82"/>
      <c r="P240" s="94"/>
      <c r="Q240" s="54"/>
    </row>
    <row r="244" spans="1:25" ht="22.8" x14ac:dyDescent="0.4">
      <c r="A244" s="112" t="s">
        <v>627</v>
      </c>
    </row>
    <row r="245" spans="1:25" ht="13.8" thickBot="1" x14ac:dyDescent="0.3"/>
    <row r="246" spans="1:25" ht="100.2" customHeight="1" thickBot="1" x14ac:dyDescent="0.55000000000000004">
      <c r="A246" s="214" t="str">
        <f>CONCATENATE(AH11,"                ",AG11)</f>
        <v>SABEL                groot wapen</v>
      </c>
      <c r="B246" s="215"/>
      <c r="C246" s="216" t="str">
        <f>CONCATENATE(AE11,"                     ", AF11)</f>
        <v>LOPER                      gemengd elek./mech.</v>
      </c>
      <c r="D246" s="217"/>
      <c r="E246" s="218"/>
      <c r="F246" s="218"/>
      <c r="G246" s="218"/>
      <c r="H246" s="218"/>
      <c r="I246" s="218"/>
      <c r="J246" s="218"/>
      <c r="K246" s="219"/>
      <c r="L246" s="220">
        <f>AC11</f>
        <v>0</v>
      </c>
      <c r="M246" s="221"/>
      <c r="N246" s="42" t="s">
        <v>503</v>
      </c>
      <c r="O246" s="222" t="s">
        <v>504</v>
      </c>
      <c r="P246" s="223"/>
      <c r="Q246" s="222" t="s">
        <v>505</v>
      </c>
      <c r="R246" s="223"/>
      <c r="S246" s="222" t="s">
        <v>506</v>
      </c>
      <c r="T246" s="223"/>
      <c r="U246" s="234" t="s">
        <v>584</v>
      </c>
      <c r="V246" s="235"/>
      <c r="W246" s="130"/>
      <c r="X246" s="209" t="s">
        <v>468</v>
      </c>
      <c r="Y246" s="132"/>
    </row>
    <row r="247" spans="1:25" ht="16.2" thickBot="1" x14ac:dyDescent="0.35">
      <c r="A247" s="49" t="s">
        <v>508</v>
      </c>
      <c r="B247" s="113"/>
      <c r="C247" s="45">
        <v>1</v>
      </c>
      <c r="D247" s="46">
        <v>2</v>
      </c>
      <c r="E247" s="46">
        <v>3</v>
      </c>
      <c r="F247" s="46">
        <v>4</v>
      </c>
      <c r="G247" s="46">
        <v>5</v>
      </c>
      <c r="H247" s="46">
        <v>6</v>
      </c>
      <c r="I247" s="46">
        <v>7</v>
      </c>
      <c r="J247" s="46">
        <v>8</v>
      </c>
      <c r="K247" s="46">
        <v>9</v>
      </c>
      <c r="L247" s="47">
        <v>10</v>
      </c>
      <c r="M247" s="47">
        <v>11</v>
      </c>
      <c r="N247" s="48">
        <v>12</v>
      </c>
      <c r="O247" s="49" t="s">
        <v>509</v>
      </c>
      <c r="P247" s="50" t="s">
        <v>510</v>
      </c>
      <c r="Q247" s="51" t="s">
        <v>509</v>
      </c>
      <c r="R247" s="48" t="s">
        <v>510</v>
      </c>
      <c r="S247" s="51" t="s">
        <v>509</v>
      </c>
      <c r="T247" s="52" t="s">
        <v>510</v>
      </c>
      <c r="U247" s="236"/>
      <c r="V247" s="237"/>
      <c r="W247" s="131"/>
      <c r="X247" s="131"/>
      <c r="Y247" s="131"/>
    </row>
    <row r="248" spans="1:25" ht="15.6" x14ac:dyDescent="0.3">
      <c r="A248" s="119"/>
      <c r="B248" s="116">
        <v>1</v>
      </c>
      <c r="C248" s="56"/>
      <c r="D248" s="57"/>
      <c r="E248" s="57"/>
      <c r="F248" s="57"/>
      <c r="G248" s="57"/>
      <c r="H248" s="57"/>
      <c r="I248" s="57"/>
      <c r="J248" s="58"/>
      <c r="K248" s="58"/>
      <c r="L248" s="58"/>
      <c r="M248" s="58"/>
      <c r="N248" s="59"/>
      <c r="O248" s="60"/>
      <c r="P248" s="61"/>
      <c r="Q248" s="60"/>
      <c r="R248" s="61"/>
      <c r="S248" s="60"/>
      <c r="T248" s="62"/>
      <c r="U248" s="224"/>
      <c r="V248" s="225"/>
    </row>
    <row r="249" spans="1:25" ht="15.6" x14ac:dyDescent="0.3">
      <c r="A249" s="119"/>
      <c r="B249" s="117">
        <v>2</v>
      </c>
      <c r="C249" s="67"/>
      <c r="D249" s="68"/>
      <c r="E249" s="69"/>
      <c r="F249" s="69"/>
      <c r="G249" s="69"/>
      <c r="H249" s="69"/>
      <c r="I249" s="69"/>
      <c r="J249" s="70"/>
      <c r="K249" s="70"/>
      <c r="L249" s="70"/>
      <c r="M249" s="70"/>
      <c r="N249" s="59"/>
      <c r="O249" s="60"/>
      <c r="P249" s="61"/>
      <c r="Q249" s="60"/>
      <c r="R249" s="61"/>
      <c r="S249" s="60"/>
      <c r="T249" s="62"/>
      <c r="U249" s="224"/>
      <c r="V249" s="225"/>
    </row>
    <row r="250" spans="1:25" ht="15.6" x14ac:dyDescent="0.3">
      <c r="A250" s="119"/>
      <c r="B250" s="116">
        <v>3</v>
      </c>
      <c r="C250" s="67"/>
      <c r="D250" s="69"/>
      <c r="E250" s="68"/>
      <c r="F250" s="69"/>
      <c r="G250" s="69"/>
      <c r="H250" s="69"/>
      <c r="I250" s="69"/>
      <c r="J250" s="70"/>
      <c r="K250" s="70"/>
      <c r="L250" s="70"/>
      <c r="M250" s="70"/>
      <c r="N250" s="59"/>
      <c r="O250" s="60"/>
      <c r="P250" s="61"/>
      <c r="Q250" s="60"/>
      <c r="R250" s="61"/>
      <c r="S250" s="60"/>
      <c r="T250" s="62"/>
      <c r="U250" s="224"/>
      <c r="V250" s="225"/>
    </row>
    <row r="251" spans="1:25" ht="15.6" x14ac:dyDescent="0.3">
      <c r="A251" s="119"/>
      <c r="B251" s="117">
        <v>4</v>
      </c>
      <c r="C251" s="67"/>
      <c r="D251" s="69"/>
      <c r="E251" s="69"/>
      <c r="F251" s="68"/>
      <c r="G251" s="69"/>
      <c r="H251" s="69"/>
      <c r="I251" s="69"/>
      <c r="J251" s="70"/>
      <c r="K251" s="70"/>
      <c r="L251" s="70"/>
      <c r="M251" s="70"/>
      <c r="N251" s="59"/>
      <c r="O251" s="60"/>
      <c r="P251" s="61"/>
      <c r="Q251" s="60"/>
      <c r="R251" s="61"/>
      <c r="S251" s="60"/>
      <c r="T251" s="62"/>
      <c r="U251" s="224"/>
      <c r="V251" s="225"/>
    </row>
    <row r="252" spans="1:25" ht="15.6" x14ac:dyDescent="0.3">
      <c r="A252" s="119"/>
      <c r="B252" s="116">
        <v>5</v>
      </c>
      <c r="C252" s="67"/>
      <c r="D252" s="69"/>
      <c r="E252" s="69"/>
      <c r="F252" s="69"/>
      <c r="G252" s="68"/>
      <c r="H252" s="69"/>
      <c r="I252" s="69"/>
      <c r="J252" s="70"/>
      <c r="K252" s="70"/>
      <c r="L252" s="70"/>
      <c r="M252" s="70"/>
      <c r="N252" s="59"/>
      <c r="O252" s="60"/>
      <c r="P252" s="61"/>
      <c r="Q252" s="60"/>
      <c r="R252" s="61"/>
      <c r="S252" s="60"/>
      <c r="T252" s="62"/>
      <c r="U252" s="224"/>
      <c r="V252" s="225"/>
    </row>
    <row r="253" spans="1:25" ht="15.6" x14ac:dyDescent="0.3">
      <c r="A253" s="119"/>
      <c r="B253" s="117">
        <v>6</v>
      </c>
      <c r="C253" s="67"/>
      <c r="D253" s="69"/>
      <c r="E253" s="69"/>
      <c r="F253" s="69"/>
      <c r="G253" s="69"/>
      <c r="H253" s="68"/>
      <c r="I253" s="69"/>
      <c r="J253" s="70"/>
      <c r="K253" s="70"/>
      <c r="L253" s="70"/>
      <c r="M253" s="70"/>
      <c r="N253" s="59"/>
      <c r="O253" s="60"/>
      <c r="P253" s="61"/>
      <c r="Q253" s="60"/>
      <c r="R253" s="61"/>
      <c r="S253" s="60"/>
      <c r="T253" s="62"/>
      <c r="U253" s="224"/>
      <c r="V253" s="225"/>
    </row>
    <row r="254" spans="1:25" ht="15.6" x14ac:dyDescent="0.3">
      <c r="A254" s="119"/>
      <c r="B254" s="116">
        <v>7</v>
      </c>
      <c r="C254" s="67"/>
      <c r="D254" s="69"/>
      <c r="E254" s="69"/>
      <c r="F254" s="69"/>
      <c r="G254" s="69"/>
      <c r="H254" s="69"/>
      <c r="I254" s="68"/>
      <c r="J254" s="83"/>
      <c r="K254" s="83"/>
      <c r="L254" s="83"/>
      <c r="M254" s="83"/>
      <c r="N254" s="84"/>
      <c r="O254" s="60"/>
      <c r="P254" s="61"/>
      <c r="Q254" s="60"/>
      <c r="R254" s="61"/>
      <c r="S254" s="60"/>
      <c r="T254" s="62"/>
      <c r="U254" s="224"/>
      <c r="V254" s="225"/>
    </row>
    <row r="255" spans="1:25" ht="15.6" x14ac:dyDescent="0.3">
      <c r="A255" s="119"/>
      <c r="B255" s="117">
        <v>8</v>
      </c>
      <c r="C255" s="87"/>
      <c r="D255" s="88"/>
      <c r="E255" s="88"/>
      <c r="F255" s="88"/>
      <c r="G255" s="88"/>
      <c r="H255" s="88"/>
      <c r="I255" s="89"/>
      <c r="J255" s="90"/>
      <c r="K255" s="91"/>
      <c r="L255" s="91"/>
      <c r="M255" s="91"/>
      <c r="N255" s="84"/>
      <c r="O255" s="60"/>
      <c r="P255" s="61"/>
      <c r="Q255" s="60"/>
      <c r="R255" s="61"/>
      <c r="S255" s="60"/>
      <c r="T255" s="62"/>
      <c r="U255" s="224"/>
      <c r="V255" s="225"/>
    </row>
    <row r="256" spans="1:25" ht="15.6" x14ac:dyDescent="0.3">
      <c r="A256" s="119"/>
      <c r="B256" s="116">
        <v>9</v>
      </c>
      <c r="C256" s="87"/>
      <c r="D256" s="88"/>
      <c r="E256" s="88"/>
      <c r="F256" s="88"/>
      <c r="G256" s="88"/>
      <c r="H256" s="88"/>
      <c r="I256" s="89"/>
      <c r="J256" s="91"/>
      <c r="K256" s="90"/>
      <c r="L256" s="91"/>
      <c r="M256" s="91"/>
      <c r="N256" s="84"/>
      <c r="O256" s="60"/>
      <c r="P256" s="61"/>
      <c r="Q256" s="60"/>
      <c r="R256" s="61"/>
      <c r="S256" s="60"/>
      <c r="T256" s="62"/>
      <c r="U256" s="224"/>
      <c r="V256" s="225"/>
    </row>
    <row r="257" spans="1:25" ht="15.6" x14ac:dyDescent="0.3">
      <c r="A257" s="119"/>
      <c r="B257" s="117">
        <v>10</v>
      </c>
      <c r="C257" s="87"/>
      <c r="D257" s="88"/>
      <c r="E257" s="88"/>
      <c r="F257" s="88"/>
      <c r="G257" s="88"/>
      <c r="H257" s="88"/>
      <c r="I257" s="89"/>
      <c r="J257" s="91"/>
      <c r="K257" s="91"/>
      <c r="L257" s="90"/>
      <c r="M257" s="91"/>
      <c r="N257" s="84"/>
      <c r="O257" s="60"/>
      <c r="P257" s="61"/>
      <c r="Q257" s="60"/>
      <c r="R257" s="61"/>
      <c r="S257" s="60"/>
      <c r="T257" s="62"/>
      <c r="U257" s="224"/>
      <c r="V257" s="225"/>
    </row>
    <row r="258" spans="1:25" ht="15.6" x14ac:dyDescent="0.3">
      <c r="A258" s="119"/>
      <c r="B258" s="116">
        <v>11</v>
      </c>
      <c r="C258" s="87"/>
      <c r="D258" s="88"/>
      <c r="E258" s="88"/>
      <c r="F258" s="88"/>
      <c r="G258" s="88"/>
      <c r="H258" s="88"/>
      <c r="I258" s="89"/>
      <c r="J258" s="91"/>
      <c r="K258" s="91"/>
      <c r="L258" s="91"/>
      <c r="M258" s="90"/>
      <c r="N258" s="84"/>
      <c r="O258" s="60"/>
      <c r="P258" s="61"/>
      <c r="Q258" s="60"/>
      <c r="R258" s="61"/>
      <c r="S258" s="60"/>
      <c r="T258" s="62"/>
      <c r="U258" s="224"/>
      <c r="V258" s="225"/>
    </row>
    <row r="259" spans="1:25" ht="16.2" thickBot="1" x14ac:dyDescent="0.35">
      <c r="A259" s="121"/>
      <c r="B259" s="122">
        <v>12</v>
      </c>
      <c r="C259" s="97"/>
      <c r="D259" s="98"/>
      <c r="E259" s="98"/>
      <c r="F259" s="98"/>
      <c r="G259" s="98"/>
      <c r="H259" s="98"/>
      <c r="I259" s="98"/>
      <c r="J259" s="99"/>
      <c r="K259" s="99"/>
      <c r="L259" s="99"/>
      <c r="M259" s="99"/>
      <c r="N259" s="100"/>
      <c r="O259" s="101"/>
      <c r="P259" s="102"/>
      <c r="Q259" s="101"/>
      <c r="R259" s="102"/>
      <c r="S259" s="101"/>
      <c r="T259" s="103"/>
      <c r="U259" s="231"/>
      <c r="V259" s="232"/>
    </row>
    <row r="261" spans="1:25" x14ac:dyDescent="0.25">
      <c r="A261" s="76" t="s">
        <v>556</v>
      </c>
    </row>
    <row r="262" spans="1:25" x14ac:dyDescent="0.25">
      <c r="A262" s="111"/>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row>
    <row r="263" spans="1:25" x14ac:dyDescent="0.25">
      <c r="A263" s="76"/>
    </row>
    <row r="264" spans="1:25" x14ac:dyDescent="0.25">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row>
    <row r="265" spans="1:25" ht="15" x14ac:dyDescent="0.25">
      <c r="A265" s="82"/>
      <c r="H265" s="82"/>
      <c r="I265" s="82"/>
      <c r="J265" s="82"/>
      <c r="K265" s="82"/>
      <c r="L265" s="82"/>
      <c r="M265" s="82"/>
      <c r="N265" s="82"/>
      <c r="O265" s="82"/>
      <c r="P265" s="94"/>
      <c r="Q265" s="54"/>
    </row>
    <row r="266" spans="1:25" ht="15" x14ac:dyDescent="0.25">
      <c r="B266" s="76"/>
      <c r="C266" s="76"/>
      <c r="D266" s="76"/>
      <c r="P266" s="94"/>
      <c r="Q266" s="54"/>
    </row>
    <row r="269" spans="1:25" ht="22.8" x14ac:dyDescent="0.4">
      <c r="A269" s="112" t="s">
        <v>627</v>
      </c>
    </row>
    <row r="270" spans="1:25" ht="13.8" thickBot="1" x14ac:dyDescent="0.3"/>
    <row r="271" spans="1:25" ht="100.2" customHeight="1" thickBot="1" x14ac:dyDescent="0.55000000000000004">
      <c r="A271" s="214" t="str">
        <f>CONCATENATE(AH12,"                ",AG12)</f>
        <v>SABEL                groot wapen</v>
      </c>
      <c r="B271" s="215"/>
      <c r="C271" s="216" t="str">
        <f>CONCATENATE(AE12,"                     ", AF12)</f>
        <v>LOPER                      gemengd elek./mech.</v>
      </c>
      <c r="D271" s="217"/>
      <c r="E271" s="218"/>
      <c r="F271" s="218"/>
      <c r="G271" s="218"/>
      <c r="H271" s="218"/>
      <c r="I271" s="218"/>
      <c r="J271" s="218"/>
      <c r="K271" s="219"/>
      <c r="L271" s="220">
        <f>AC12</f>
        <v>0</v>
      </c>
      <c r="M271" s="221"/>
      <c r="N271" s="42" t="s">
        <v>503</v>
      </c>
      <c r="O271" s="222" t="s">
        <v>504</v>
      </c>
      <c r="P271" s="223"/>
      <c r="Q271" s="222" t="s">
        <v>505</v>
      </c>
      <c r="R271" s="223"/>
      <c r="S271" s="222" t="s">
        <v>506</v>
      </c>
      <c r="T271" s="223"/>
      <c r="U271" s="234" t="s">
        <v>584</v>
      </c>
      <c r="V271" s="235"/>
      <c r="W271" s="130"/>
      <c r="X271" s="209" t="s">
        <v>472</v>
      </c>
      <c r="Y271" s="132"/>
    </row>
    <row r="272" spans="1:25" ht="16.2" thickBot="1" x14ac:dyDescent="0.35">
      <c r="A272" s="49" t="s">
        <v>508</v>
      </c>
      <c r="B272" s="113"/>
      <c r="C272" s="45">
        <v>1</v>
      </c>
      <c r="D272" s="46">
        <v>2</v>
      </c>
      <c r="E272" s="46">
        <v>3</v>
      </c>
      <c r="F272" s="46">
        <v>4</v>
      </c>
      <c r="G272" s="46">
        <v>5</v>
      </c>
      <c r="H272" s="46">
        <v>6</v>
      </c>
      <c r="I272" s="46">
        <v>7</v>
      </c>
      <c r="J272" s="46">
        <v>8</v>
      </c>
      <c r="K272" s="46">
        <v>9</v>
      </c>
      <c r="L272" s="47">
        <v>10</v>
      </c>
      <c r="M272" s="47">
        <v>11</v>
      </c>
      <c r="N272" s="48">
        <v>12</v>
      </c>
      <c r="O272" s="49" t="s">
        <v>509</v>
      </c>
      <c r="P272" s="50" t="s">
        <v>510</v>
      </c>
      <c r="Q272" s="51" t="s">
        <v>509</v>
      </c>
      <c r="R272" s="48" t="s">
        <v>510</v>
      </c>
      <c r="S272" s="51" t="s">
        <v>509</v>
      </c>
      <c r="T272" s="52" t="s">
        <v>510</v>
      </c>
      <c r="U272" s="236"/>
      <c r="V272" s="237"/>
      <c r="W272" s="131"/>
      <c r="X272" s="131"/>
      <c r="Y272" s="131"/>
    </row>
    <row r="273" spans="1:25" ht="15.6" x14ac:dyDescent="0.3">
      <c r="A273" s="119"/>
      <c r="B273" s="116">
        <v>1</v>
      </c>
      <c r="C273" s="56"/>
      <c r="D273" s="57"/>
      <c r="E273" s="57"/>
      <c r="F273" s="57"/>
      <c r="G273" s="57"/>
      <c r="H273" s="57"/>
      <c r="I273" s="57"/>
      <c r="J273" s="58"/>
      <c r="K273" s="58"/>
      <c r="L273" s="58"/>
      <c r="M273" s="58"/>
      <c r="N273" s="59"/>
      <c r="O273" s="60"/>
      <c r="P273" s="61"/>
      <c r="Q273" s="60"/>
      <c r="R273" s="61"/>
      <c r="S273" s="60"/>
      <c r="T273" s="62"/>
      <c r="U273" s="224"/>
      <c r="V273" s="225"/>
    </row>
    <row r="274" spans="1:25" ht="15.6" x14ac:dyDescent="0.3">
      <c r="A274" s="119"/>
      <c r="B274" s="117">
        <v>2</v>
      </c>
      <c r="C274" s="67"/>
      <c r="D274" s="68"/>
      <c r="E274" s="69"/>
      <c r="F274" s="69"/>
      <c r="G274" s="69"/>
      <c r="H274" s="69"/>
      <c r="I274" s="69"/>
      <c r="J274" s="70"/>
      <c r="K274" s="70"/>
      <c r="L274" s="70"/>
      <c r="M274" s="70"/>
      <c r="N274" s="59"/>
      <c r="O274" s="60"/>
      <c r="P274" s="61"/>
      <c r="Q274" s="60"/>
      <c r="R274" s="61"/>
      <c r="S274" s="60"/>
      <c r="T274" s="62"/>
      <c r="U274" s="224"/>
      <c r="V274" s="225"/>
    </row>
    <row r="275" spans="1:25" ht="15.6" x14ac:dyDescent="0.3">
      <c r="A275" s="119"/>
      <c r="B275" s="116">
        <v>3</v>
      </c>
      <c r="C275" s="67"/>
      <c r="D275" s="69"/>
      <c r="E275" s="68"/>
      <c r="F275" s="69"/>
      <c r="G275" s="69"/>
      <c r="H275" s="69"/>
      <c r="I275" s="69"/>
      <c r="J275" s="70"/>
      <c r="K275" s="70"/>
      <c r="L275" s="70"/>
      <c r="M275" s="70"/>
      <c r="N275" s="59"/>
      <c r="O275" s="60"/>
      <c r="P275" s="61"/>
      <c r="Q275" s="60"/>
      <c r="R275" s="61"/>
      <c r="S275" s="60"/>
      <c r="T275" s="62"/>
      <c r="U275" s="224"/>
      <c r="V275" s="225"/>
    </row>
    <row r="276" spans="1:25" ht="15.6" x14ac:dyDescent="0.3">
      <c r="A276" s="119"/>
      <c r="B276" s="117">
        <v>4</v>
      </c>
      <c r="C276" s="67"/>
      <c r="D276" s="69"/>
      <c r="E276" s="69"/>
      <c r="F276" s="68"/>
      <c r="G276" s="69"/>
      <c r="H276" s="69"/>
      <c r="I276" s="69"/>
      <c r="J276" s="70"/>
      <c r="K276" s="70"/>
      <c r="L276" s="70"/>
      <c r="M276" s="70"/>
      <c r="N276" s="59"/>
      <c r="O276" s="60"/>
      <c r="P276" s="61"/>
      <c r="Q276" s="60"/>
      <c r="R276" s="61"/>
      <c r="S276" s="60"/>
      <c r="T276" s="62"/>
      <c r="U276" s="224"/>
      <c r="V276" s="225"/>
    </row>
    <row r="277" spans="1:25" ht="15.6" x14ac:dyDescent="0.3">
      <c r="A277" s="119"/>
      <c r="B277" s="116">
        <v>5</v>
      </c>
      <c r="C277" s="67"/>
      <c r="D277" s="69"/>
      <c r="E277" s="69"/>
      <c r="F277" s="69"/>
      <c r="G277" s="68"/>
      <c r="H277" s="69"/>
      <c r="I277" s="69"/>
      <c r="J277" s="70"/>
      <c r="K277" s="70"/>
      <c r="L277" s="70"/>
      <c r="M277" s="70"/>
      <c r="N277" s="59"/>
      <c r="O277" s="60"/>
      <c r="P277" s="61"/>
      <c r="Q277" s="60"/>
      <c r="R277" s="61"/>
      <c r="S277" s="60"/>
      <c r="T277" s="62"/>
      <c r="U277" s="224"/>
      <c r="V277" s="225"/>
    </row>
    <row r="278" spans="1:25" ht="15.6" x14ac:dyDescent="0.3">
      <c r="A278" s="119"/>
      <c r="B278" s="117">
        <v>6</v>
      </c>
      <c r="C278" s="67"/>
      <c r="D278" s="69"/>
      <c r="E278" s="69"/>
      <c r="F278" s="69"/>
      <c r="G278" s="69"/>
      <c r="H278" s="68"/>
      <c r="I278" s="69"/>
      <c r="J278" s="70"/>
      <c r="K278" s="70"/>
      <c r="L278" s="70"/>
      <c r="M278" s="70"/>
      <c r="N278" s="59"/>
      <c r="O278" s="60"/>
      <c r="P278" s="61"/>
      <c r="Q278" s="60"/>
      <c r="R278" s="61"/>
      <c r="S278" s="60"/>
      <c r="T278" s="62"/>
      <c r="U278" s="224"/>
      <c r="V278" s="225"/>
    </row>
    <row r="279" spans="1:25" ht="15.6" x14ac:dyDescent="0.3">
      <c r="A279" s="119"/>
      <c r="B279" s="116">
        <v>7</v>
      </c>
      <c r="C279" s="67"/>
      <c r="D279" s="69"/>
      <c r="E279" s="69"/>
      <c r="F279" s="69"/>
      <c r="G279" s="69"/>
      <c r="H279" s="69"/>
      <c r="I279" s="68"/>
      <c r="J279" s="83"/>
      <c r="K279" s="83"/>
      <c r="L279" s="83"/>
      <c r="M279" s="83"/>
      <c r="N279" s="84"/>
      <c r="O279" s="60"/>
      <c r="P279" s="61"/>
      <c r="Q279" s="60"/>
      <c r="R279" s="61"/>
      <c r="S279" s="60"/>
      <c r="T279" s="62"/>
      <c r="U279" s="224"/>
      <c r="V279" s="225"/>
    </row>
    <row r="280" spans="1:25" ht="15.6" x14ac:dyDescent="0.3">
      <c r="A280" s="119"/>
      <c r="B280" s="117">
        <v>8</v>
      </c>
      <c r="C280" s="87"/>
      <c r="D280" s="88"/>
      <c r="E280" s="88"/>
      <c r="F280" s="88"/>
      <c r="G280" s="88"/>
      <c r="H280" s="88"/>
      <c r="I280" s="89"/>
      <c r="J280" s="90"/>
      <c r="K280" s="91"/>
      <c r="L280" s="91"/>
      <c r="M280" s="91"/>
      <c r="N280" s="84"/>
      <c r="O280" s="60"/>
      <c r="P280" s="61"/>
      <c r="Q280" s="60"/>
      <c r="R280" s="61"/>
      <c r="S280" s="60"/>
      <c r="T280" s="62"/>
      <c r="U280" s="224"/>
      <c r="V280" s="225"/>
    </row>
    <row r="281" spans="1:25" ht="15.6" x14ac:dyDescent="0.3">
      <c r="A281" s="119"/>
      <c r="B281" s="116">
        <v>9</v>
      </c>
      <c r="C281" s="87"/>
      <c r="D281" s="88"/>
      <c r="E281" s="88"/>
      <c r="F281" s="88"/>
      <c r="G281" s="88"/>
      <c r="H281" s="88"/>
      <c r="I281" s="89"/>
      <c r="J281" s="91"/>
      <c r="K281" s="90"/>
      <c r="L281" s="91"/>
      <c r="M281" s="91"/>
      <c r="N281" s="84"/>
      <c r="O281" s="60"/>
      <c r="P281" s="61"/>
      <c r="Q281" s="60"/>
      <c r="R281" s="61"/>
      <c r="S281" s="60"/>
      <c r="T281" s="62"/>
      <c r="U281" s="224"/>
      <c r="V281" s="225"/>
    </row>
    <row r="282" spans="1:25" ht="15.6" x14ac:dyDescent="0.3">
      <c r="A282" s="119"/>
      <c r="B282" s="117">
        <v>10</v>
      </c>
      <c r="C282" s="87"/>
      <c r="D282" s="88"/>
      <c r="E282" s="88"/>
      <c r="F282" s="88"/>
      <c r="G282" s="88"/>
      <c r="H282" s="88"/>
      <c r="I282" s="89"/>
      <c r="J282" s="91"/>
      <c r="K282" s="91"/>
      <c r="L282" s="90"/>
      <c r="M282" s="91"/>
      <c r="N282" s="84"/>
      <c r="O282" s="60"/>
      <c r="P282" s="61"/>
      <c r="Q282" s="60"/>
      <c r="R282" s="61"/>
      <c r="S282" s="60"/>
      <c r="T282" s="62"/>
      <c r="U282" s="224"/>
      <c r="V282" s="225"/>
    </row>
    <row r="283" spans="1:25" ht="15.6" x14ac:dyDescent="0.3">
      <c r="A283" s="119"/>
      <c r="B283" s="116">
        <v>11</v>
      </c>
      <c r="C283" s="87"/>
      <c r="D283" s="88"/>
      <c r="E283" s="88"/>
      <c r="F283" s="88"/>
      <c r="G283" s="88"/>
      <c r="H283" s="88"/>
      <c r="I283" s="89"/>
      <c r="J283" s="91"/>
      <c r="K283" s="91"/>
      <c r="L283" s="91"/>
      <c r="M283" s="90"/>
      <c r="N283" s="84"/>
      <c r="O283" s="60"/>
      <c r="P283" s="61"/>
      <c r="Q283" s="60"/>
      <c r="R283" s="61"/>
      <c r="S283" s="60"/>
      <c r="T283" s="62"/>
      <c r="U283" s="224"/>
      <c r="V283" s="225"/>
    </row>
    <row r="284" spans="1:25" ht="16.2" thickBot="1" x14ac:dyDescent="0.35">
      <c r="A284" s="121"/>
      <c r="B284" s="122">
        <v>12</v>
      </c>
      <c r="C284" s="97"/>
      <c r="D284" s="98"/>
      <c r="E284" s="98"/>
      <c r="F284" s="98"/>
      <c r="G284" s="98"/>
      <c r="H284" s="98"/>
      <c r="I284" s="98"/>
      <c r="J284" s="99"/>
      <c r="K284" s="99"/>
      <c r="L284" s="99"/>
      <c r="M284" s="99"/>
      <c r="N284" s="100"/>
      <c r="O284" s="101"/>
      <c r="P284" s="102"/>
      <c r="Q284" s="101"/>
      <c r="R284" s="102"/>
      <c r="S284" s="101"/>
      <c r="T284" s="103"/>
      <c r="U284" s="231"/>
      <c r="V284" s="232"/>
    </row>
    <row r="286" spans="1:25" x14ac:dyDescent="0.25">
      <c r="A286" s="76" t="s">
        <v>556</v>
      </c>
    </row>
    <row r="287" spans="1:25" x14ac:dyDescent="0.25">
      <c r="A287" s="123"/>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row>
    <row r="288" spans="1:25" ht="15" x14ac:dyDescent="0.25">
      <c r="A288" s="82"/>
      <c r="P288" s="94"/>
      <c r="Q288" s="54"/>
    </row>
    <row r="289" spans="1:25" x14ac:dyDescent="0.25">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row>
    <row r="291" spans="1:25" x14ac:dyDescent="0.25">
      <c r="B291" s="76"/>
      <c r="C291" s="76"/>
      <c r="D291" s="76"/>
      <c r="E291" s="76"/>
      <c r="F291" s="76"/>
      <c r="G291" s="76"/>
      <c r="H291" s="76"/>
      <c r="I291" s="76"/>
      <c r="J291" s="76"/>
      <c r="K291" s="76"/>
      <c r="L291" s="76"/>
      <c r="M291" s="76"/>
      <c r="N291" s="76"/>
    </row>
    <row r="294" spans="1:25" ht="22.8" x14ac:dyDescent="0.4">
      <c r="A294" s="112" t="s">
        <v>627</v>
      </c>
    </row>
    <row r="295" spans="1:25" ht="13.8" thickBot="1" x14ac:dyDescent="0.3"/>
    <row r="296" spans="1:25" ht="100.2" customHeight="1" thickBot="1" x14ac:dyDescent="0.55000000000000004">
      <c r="A296" s="214" t="str">
        <f>CONCATENATE(AH13,"                ",AG13)</f>
        <v>SABEL                groot wapen</v>
      </c>
      <c r="B296" s="215"/>
      <c r="C296" s="216" t="str">
        <f>CONCATENATE(AE13,"                     ", AF13)</f>
        <v>LOPER                      gemengd elek./mech.</v>
      </c>
      <c r="D296" s="217"/>
      <c r="E296" s="218"/>
      <c r="F296" s="218"/>
      <c r="G296" s="218"/>
      <c r="H296" s="218"/>
      <c r="I296" s="218"/>
      <c r="J296" s="218"/>
      <c r="K296" s="219"/>
      <c r="L296" s="220">
        <f>AC13</f>
        <v>0</v>
      </c>
      <c r="M296" s="221"/>
      <c r="N296" s="42" t="s">
        <v>503</v>
      </c>
      <c r="O296" s="222" t="s">
        <v>504</v>
      </c>
      <c r="P296" s="223"/>
      <c r="Q296" s="222" t="s">
        <v>505</v>
      </c>
      <c r="R296" s="223"/>
      <c r="S296" s="222" t="s">
        <v>506</v>
      </c>
      <c r="T296" s="223"/>
      <c r="U296" s="234" t="s">
        <v>584</v>
      </c>
      <c r="V296" s="235"/>
      <c r="W296" s="130"/>
      <c r="X296" s="209" t="s">
        <v>477</v>
      </c>
      <c r="Y296" s="132"/>
    </row>
    <row r="297" spans="1:25" ht="16.2" thickBot="1" x14ac:dyDescent="0.35">
      <c r="A297" s="49" t="s">
        <v>508</v>
      </c>
      <c r="B297" s="113"/>
      <c r="C297" s="45">
        <v>1</v>
      </c>
      <c r="D297" s="46">
        <v>2</v>
      </c>
      <c r="E297" s="46">
        <v>3</v>
      </c>
      <c r="F297" s="46">
        <v>4</v>
      </c>
      <c r="G297" s="46">
        <v>5</v>
      </c>
      <c r="H297" s="46">
        <v>6</v>
      </c>
      <c r="I297" s="46">
        <v>7</v>
      </c>
      <c r="J297" s="46">
        <v>8</v>
      </c>
      <c r="K297" s="46">
        <v>9</v>
      </c>
      <c r="L297" s="47">
        <v>10</v>
      </c>
      <c r="M297" s="47">
        <v>11</v>
      </c>
      <c r="N297" s="48">
        <v>12</v>
      </c>
      <c r="O297" s="49" t="s">
        <v>509</v>
      </c>
      <c r="P297" s="50" t="s">
        <v>510</v>
      </c>
      <c r="Q297" s="51" t="s">
        <v>509</v>
      </c>
      <c r="R297" s="48" t="s">
        <v>510</v>
      </c>
      <c r="S297" s="51" t="s">
        <v>509</v>
      </c>
      <c r="T297" s="52" t="s">
        <v>510</v>
      </c>
      <c r="U297" s="236"/>
      <c r="V297" s="237"/>
      <c r="W297" s="131"/>
      <c r="X297" s="131"/>
      <c r="Y297" s="131"/>
    </row>
    <row r="298" spans="1:25" ht="15.6" x14ac:dyDescent="0.3">
      <c r="A298" s="119"/>
      <c r="B298" s="116">
        <v>1</v>
      </c>
      <c r="C298" s="56"/>
      <c r="D298" s="57"/>
      <c r="E298" s="57"/>
      <c r="F298" s="57"/>
      <c r="G298" s="57"/>
      <c r="H298" s="57"/>
      <c r="I298" s="57"/>
      <c r="J298" s="58"/>
      <c r="K298" s="58"/>
      <c r="L298" s="58"/>
      <c r="M298" s="58"/>
      <c r="N298" s="59"/>
      <c r="O298" s="60"/>
      <c r="P298" s="61"/>
      <c r="Q298" s="60"/>
      <c r="R298" s="61"/>
      <c r="S298" s="60"/>
      <c r="T298" s="62"/>
      <c r="U298" s="224"/>
      <c r="V298" s="225"/>
    </row>
    <row r="299" spans="1:25" ht="15.6" x14ac:dyDescent="0.3">
      <c r="A299" s="119"/>
      <c r="B299" s="117">
        <v>2</v>
      </c>
      <c r="C299" s="67"/>
      <c r="D299" s="68"/>
      <c r="E299" s="69"/>
      <c r="F299" s="69"/>
      <c r="G299" s="69"/>
      <c r="H299" s="69"/>
      <c r="I299" s="69"/>
      <c r="J299" s="70"/>
      <c r="K299" s="70"/>
      <c r="L299" s="70"/>
      <c r="M299" s="70"/>
      <c r="N299" s="59"/>
      <c r="O299" s="60"/>
      <c r="P299" s="61"/>
      <c r="Q299" s="60"/>
      <c r="R299" s="61"/>
      <c r="S299" s="60"/>
      <c r="T299" s="62"/>
      <c r="U299" s="224"/>
      <c r="V299" s="225"/>
    </row>
    <row r="300" spans="1:25" ht="15.6" x14ac:dyDescent="0.3">
      <c r="A300" s="119"/>
      <c r="B300" s="116">
        <v>3</v>
      </c>
      <c r="C300" s="67"/>
      <c r="D300" s="69"/>
      <c r="E300" s="68"/>
      <c r="F300" s="69"/>
      <c r="G300" s="69"/>
      <c r="H300" s="69"/>
      <c r="I300" s="69"/>
      <c r="J300" s="70"/>
      <c r="K300" s="70"/>
      <c r="L300" s="70"/>
      <c r="M300" s="70"/>
      <c r="N300" s="59"/>
      <c r="O300" s="60"/>
      <c r="P300" s="61"/>
      <c r="Q300" s="60"/>
      <c r="R300" s="61"/>
      <c r="S300" s="60"/>
      <c r="T300" s="62"/>
      <c r="U300" s="224"/>
      <c r="V300" s="225"/>
    </row>
    <row r="301" spans="1:25" ht="15.6" x14ac:dyDescent="0.3">
      <c r="A301" s="119"/>
      <c r="B301" s="117">
        <v>4</v>
      </c>
      <c r="C301" s="67"/>
      <c r="D301" s="69"/>
      <c r="E301" s="69"/>
      <c r="F301" s="68"/>
      <c r="G301" s="69"/>
      <c r="H301" s="69"/>
      <c r="I301" s="69"/>
      <c r="J301" s="70"/>
      <c r="K301" s="70"/>
      <c r="L301" s="70"/>
      <c r="M301" s="70"/>
      <c r="N301" s="59"/>
      <c r="O301" s="60"/>
      <c r="P301" s="61"/>
      <c r="Q301" s="60"/>
      <c r="R301" s="61"/>
      <c r="S301" s="60"/>
      <c r="T301" s="62"/>
      <c r="U301" s="224"/>
      <c r="V301" s="225"/>
    </row>
    <row r="302" spans="1:25" ht="15.6" x14ac:dyDescent="0.3">
      <c r="A302" s="119"/>
      <c r="B302" s="116">
        <v>5</v>
      </c>
      <c r="C302" s="67"/>
      <c r="D302" s="69"/>
      <c r="E302" s="69"/>
      <c r="F302" s="69"/>
      <c r="G302" s="68"/>
      <c r="H302" s="69"/>
      <c r="I302" s="69"/>
      <c r="J302" s="70"/>
      <c r="K302" s="70"/>
      <c r="L302" s="70"/>
      <c r="M302" s="70"/>
      <c r="N302" s="59"/>
      <c r="O302" s="60"/>
      <c r="P302" s="61"/>
      <c r="Q302" s="60"/>
      <c r="R302" s="61"/>
      <c r="S302" s="60"/>
      <c r="T302" s="62"/>
      <c r="U302" s="224"/>
      <c r="V302" s="225"/>
    </row>
    <row r="303" spans="1:25" ht="15.6" x14ac:dyDescent="0.3">
      <c r="A303" s="119"/>
      <c r="B303" s="117">
        <v>6</v>
      </c>
      <c r="C303" s="67"/>
      <c r="D303" s="69"/>
      <c r="E303" s="69"/>
      <c r="F303" s="69"/>
      <c r="G303" s="69"/>
      <c r="H303" s="68"/>
      <c r="I303" s="69"/>
      <c r="J303" s="70"/>
      <c r="K303" s="70"/>
      <c r="L303" s="70"/>
      <c r="M303" s="70"/>
      <c r="N303" s="59"/>
      <c r="O303" s="60"/>
      <c r="P303" s="61"/>
      <c r="Q303" s="60"/>
      <c r="R303" s="61"/>
      <c r="S303" s="60"/>
      <c r="T303" s="62"/>
      <c r="U303" s="224"/>
      <c r="V303" s="225"/>
    </row>
    <row r="304" spans="1:25" ht="15.6" x14ac:dyDescent="0.3">
      <c r="A304" s="119"/>
      <c r="B304" s="116">
        <v>7</v>
      </c>
      <c r="C304" s="67"/>
      <c r="D304" s="69"/>
      <c r="E304" s="69"/>
      <c r="F304" s="69"/>
      <c r="G304" s="69"/>
      <c r="H304" s="69"/>
      <c r="I304" s="68"/>
      <c r="J304" s="83"/>
      <c r="K304" s="83"/>
      <c r="L304" s="83"/>
      <c r="M304" s="83"/>
      <c r="N304" s="84"/>
      <c r="O304" s="60"/>
      <c r="P304" s="61"/>
      <c r="Q304" s="60"/>
      <c r="R304" s="61"/>
      <c r="S304" s="60"/>
      <c r="T304" s="62"/>
      <c r="U304" s="224"/>
      <c r="V304" s="225"/>
    </row>
    <row r="305" spans="1:25" ht="15.6" x14ac:dyDescent="0.3">
      <c r="A305" s="119"/>
      <c r="B305" s="117">
        <v>8</v>
      </c>
      <c r="C305" s="87"/>
      <c r="D305" s="88"/>
      <c r="E305" s="88"/>
      <c r="F305" s="88"/>
      <c r="G305" s="88"/>
      <c r="H305" s="88"/>
      <c r="I305" s="89"/>
      <c r="J305" s="90"/>
      <c r="K305" s="91"/>
      <c r="L305" s="91"/>
      <c r="M305" s="91"/>
      <c r="N305" s="84"/>
      <c r="O305" s="60"/>
      <c r="P305" s="61"/>
      <c r="Q305" s="60"/>
      <c r="R305" s="61"/>
      <c r="S305" s="60"/>
      <c r="T305" s="62"/>
      <c r="U305" s="224"/>
      <c r="V305" s="225"/>
    </row>
    <row r="306" spans="1:25" ht="15.6" x14ac:dyDescent="0.3">
      <c r="A306" s="119"/>
      <c r="B306" s="116">
        <v>9</v>
      </c>
      <c r="C306" s="87"/>
      <c r="D306" s="88"/>
      <c r="E306" s="88"/>
      <c r="F306" s="88"/>
      <c r="G306" s="88"/>
      <c r="H306" s="88"/>
      <c r="I306" s="89"/>
      <c r="J306" s="91"/>
      <c r="K306" s="90"/>
      <c r="L306" s="91"/>
      <c r="M306" s="91"/>
      <c r="N306" s="84"/>
      <c r="O306" s="60"/>
      <c r="P306" s="61"/>
      <c r="Q306" s="60"/>
      <c r="R306" s="61"/>
      <c r="S306" s="60"/>
      <c r="T306" s="62"/>
      <c r="U306" s="224"/>
      <c r="V306" s="225"/>
    </row>
    <row r="307" spans="1:25" ht="15.6" x14ac:dyDescent="0.3">
      <c r="A307" s="119"/>
      <c r="B307" s="117">
        <v>10</v>
      </c>
      <c r="C307" s="87"/>
      <c r="D307" s="88"/>
      <c r="E307" s="88"/>
      <c r="F307" s="88"/>
      <c r="G307" s="88"/>
      <c r="H307" s="88"/>
      <c r="I307" s="89"/>
      <c r="J307" s="91"/>
      <c r="K307" s="91"/>
      <c r="L307" s="90"/>
      <c r="M307" s="91"/>
      <c r="N307" s="84"/>
      <c r="O307" s="60"/>
      <c r="P307" s="61"/>
      <c r="Q307" s="60"/>
      <c r="R307" s="61"/>
      <c r="S307" s="60"/>
      <c r="T307" s="62"/>
      <c r="U307" s="224"/>
      <c r="V307" s="225"/>
    </row>
    <row r="308" spans="1:25" ht="15.6" x14ac:dyDescent="0.3">
      <c r="A308" s="119"/>
      <c r="B308" s="116">
        <v>11</v>
      </c>
      <c r="C308" s="87"/>
      <c r="D308" s="88"/>
      <c r="E308" s="88"/>
      <c r="F308" s="88"/>
      <c r="G308" s="88"/>
      <c r="H308" s="88"/>
      <c r="I308" s="89"/>
      <c r="J308" s="91"/>
      <c r="K308" s="91"/>
      <c r="L308" s="91"/>
      <c r="M308" s="90"/>
      <c r="N308" s="84"/>
      <c r="O308" s="60"/>
      <c r="P308" s="61"/>
      <c r="Q308" s="60"/>
      <c r="R308" s="61"/>
      <c r="S308" s="60"/>
      <c r="T308" s="62"/>
      <c r="U308" s="224"/>
      <c r="V308" s="225"/>
    </row>
    <row r="309" spans="1:25" ht="16.2" thickBot="1" x14ac:dyDescent="0.35">
      <c r="A309" s="121"/>
      <c r="B309" s="122">
        <v>12</v>
      </c>
      <c r="C309" s="97"/>
      <c r="D309" s="98"/>
      <c r="E309" s="98"/>
      <c r="F309" s="98"/>
      <c r="G309" s="98"/>
      <c r="H309" s="98"/>
      <c r="I309" s="98"/>
      <c r="J309" s="99"/>
      <c r="K309" s="99"/>
      <c r="L309" s="99"/>
      <c r="M309" s="99"/>
      <c r="N309" s="100"/>
      <c r="O309" s="101"/>
      <c r="P309" s="102"/>
      <c r="Q309" s="101"/>
      <c r="R309" s="102"/>
      <c r="S309" s="101"/>
      <c r="T309" s="103"/>
      <c r="U309" s="231"/>
      <c r="V309" s="232"/>
    </row>
    <row r="311" spans="1:25" x14ac:dyDescent="0.25">
      <c r="A311" s="76" t="s">
        <v>556</v>
      </c>
    </row>
    <row r="312" spans="1:25" x14ac:dyDescent="0.25">
      <c r="A312" s="111"/>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row>
    <row r="313" spans="1:25" x14ac:dyDescent="0.25">
      <c r="A313" s="76"/>
    </row>
    <row r="314" spans="1:25" x14ac:dyDescent="0.25">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row>
    <row r="315" spans="1:25" x14ac:dyDescent="0.25">
      <c r="A315" s="82"/>
    </row>
    <row r="316" spans="1:25" x14ac:dyDescent="0.25">
      <c r="A316" s="82"/>
      <c r="B316" s="76"/>
      <c r="C316" s="76"/>
      <c r="D316" s="76"/>
      <c r="E316" s="76"/>
      <c r="F316" s="76"/>
      <c r="G316" s="76"/>
      <c r="H316" s="76"/>
      <c r="I316" s="76"/>
      <c r="J316" s="76"/>
      <c r="K316" s="76"/>
      <c r="L316" s="76"/>
      <c r="M316" s="76"/>
      <c r="N316" s="76"/>
      <c r="O316" s="76"/>
      <c r="P316" s="76"/>
      <c r="Q316" s="76"/>
      <c r="R316" s="76"/>
      <c r="S316" s="76"/>
      <c r="T316" s="76"/>
      <c r="U316" s="76"/>
      <c r="V316" s="76"/>
    </row>
    <row r="318" spans="1:25" x14ac:dyDescent="0.25">
      <c r="B318" s="76"/>
      <c r="C318" s="76"/>
      <c r="D318" s="76"/>
    </row>
    <row r="319" spans="1:25" ht="22.8" x14ac:dyDescent="0.4">
      <c r="A319" s="112" t="s">
        <v>627</v>
      </c>
    </row>
    <row r="320" spans="1:25" ht="13.8" thickBot="1" x14ac:dyDescent="0.3"/>
    <row r="321" spans="1:25" ht="100.2" customHeight="1" thickBot="1" x14ac:dyDescent="0.55000000000000004">
      <c r="A321" s="214" t="str">
        <f>CONCATENATE(AH14,"                ",AG14)</f>
        <v>SABEL                groot wapen</v>
      </c>
      <c r="B321" s="215"/>
      <c r="C321" s="216" t="str">
        <f>CONCATENATE(AE14,"                     ", AF14)</f>
        <v>LOPER                      gemengd elek./mech.</v>
      </c>
      <c r="D321" s="217"/>
      <c r="E321" s="218"/>
      <c r="F321" s="218"/>
      <c r="G321" s="218"/>
      <c r="H321" s="218"/>
      <c r="I321" s="218"/>
      <c r="J321" s="218"/>
      <c r="K321" s="219"/>
      <c r="L321" s="220">
        <f>AC14</f>
        <v>0</v>
      </c>
      <c r="M321" s="221"/>
      <c r="N321" s="42" t="s">
        <v>503</v>
      </c>
      <c r="O321" s="222" t="s">
        <v>504</v>
      </c>
      <c r="P321" s="223"/>
      <c r="Q321" s="222" t="s">
        <v>505</v>
      </c>
      <c r="R321" s="223"/>
      <c r="S321" s="222" t="s">
        <v>506</v>
      </c>
      <c r="T321" s="223"/>
      <c r="U321" s="234" t="s">
        <v>584</v>
      </c>
      <c r="V321" s="235"/>
      <c r="W321" s="130"/>
      <c r="X321" s="209" t="s">
        <v>481</v>
      </c>
      <c r="Y321" s="132"/>
    </row>
    <row r="322" spans="1:25" ht="16.2" thickBot="1" x14ac:dyDescent="0.35">
      <c r="A322" s="49" t="s">
        <v>508</v>
      </c>
      <c r="B322" s="113"/>
      <c r="C322" s="45">
        <v>1</v>
      </c>
      <c r="D322" s="46">
        <v>2</v>
      </c>
      <c r="E322" s="46">
        <v>3</v>
      </c>
      <c r="F322" s="46">
        <v>4</v>
      </c>
      <c r="G322" s="46">
        <v>5</v>
      </c>
      <c r="H322" s="46">
        <v>6</v>
      </c>
      <c r="I322" s="46">
        <v>7</v>
      </c>
      <c r="J322" s="46">
        <v>8</v>
      </c>
      <c r="K322" s="46">
        <v>9</v>
      </c>
      <c r="L322" s="47">
        <v>10</v>
      </c>
      <c r="M322" s="47">
        <v>11</v>
      </c>
      <c r="N322" s="48">
        <v>12</v>
      </c>
      <c r="O322" s="49" t="s">
        <v>509</v>
      </c>
      <c r="P322" s="50" t="s">
        <v>510</v>
      </c>
      <c r="Q322" s="51" t="s">
        <v>509</v>
      </c>
      <c r="R322" s="48" t="s">
        <v>510</v>
      </c>
      <c r="S322" s="51" t="s">
        <v>509</v>
      </c>
      <c r="T322" s="52" t="s">
        <v>510</v>
      </c>
      <c r="U322" s="236"/>
      <c r="V322" s="237"/>
      <c r="W322" s="131"/>
      <c r="X322" s="131"/>
      <c r="Y322" s="131"/>
    </row>
    <row r="323" spans="1:25" ht="15.6" x14ac:dyDescent="0.3">
      <c r="A323" s="119"/>
      <c r="B323" s="116">
        <v>1</v>
      </c>
      <c r="C323" s="56"/>
      <c r="D323" s="57"/>
      <c r="E323" s="57"/>
      <c r="F323" s="57"/>
      <c r="G323" s="57"/>
      <c r="H323" s="57"/>
      <c r="I323" s="57"/>
      <c r="J323" s="58"/>
      <c r="K323" s="58"/>
      <c r="L323" s="58"/>
      <c r="M323" s="58"/>
      <c r="N323" s="59"/>
      <c r="O323" s="60"/>
      <c r="P323" s="61"/>
      <c r="Q323" s="60"/>
      <c r="R323" s="61"/>
      <c r="S323" s="60"/>
      <c r="T323" s="62"/>
      <c r="U323" s="224"/>
      <c r="V323" s="225"/>
    </row>
    <row r="324" spans="1:25" ht="15.6" x14ac:dyDescent="0.3">
      <c r="A324" s="119"/>
      <c r="B324" s="117">
        <v>2</v>
      </c>
      <c r="C324" s="67"/>
      <c r="D324" s="68"/>
      <c r="E324" s="69"/>
      <c r="F324" s="69"/>
      <c r="G324" s="69"/>
      <c r="H324" s="69"/>
      <c r="I324" s="69"/>
      <c r="J324" s="70"/>
      <c r="K324" s="70"/>
      <c r="L324" s="70"/>
      <c r="M324" s="70"/>
      <c r="N324" s="59"/>
      <c r="O324" s="60"/>
      <c r="P324" s="61"/>
      <c r="Q324" s="60"/>
      <c r="R324" s="61"/>
      <c r="S324" s="60"/>
      <c r="T324" s="62"/>
      <c r="U324" s="224"/>
      <c r="V324" s="225"/>
    </row>
    <row r="325" spans="1:25" ht="15.6" x14ac:dyDescent="0.3">
      <c r="A325" s="119"/>
      <c r="B325" s="116">
        <v>3</v>
      </c>
      <c r="C325" s="67"/>
      <c r="D325" s="69"/>
      <c r="E325" s="68"/>
      <c r="F325" s="69"/>
      <c r="G325" s="69"/>
      <c r="H325" s="69"/>
      <c r="I325" s="69"/>
      <c r="J325" s="70"/>
      <c r="K325" s="70"/>
      <c r="L325" s="70"/>
      <c r="M325" s="70"/>
      <c r="N325" s="59"/>
      <c r="O325" s="60"/>
      <c r="P325" s="61"/>
      <c r="Q325" s="60"/>
      <c r="R325" s="61"/>
      <c r="S325" s="60"/>
      <c r="T325" s="62"/>
      <c r="U325" s="224"/>
      <c r="V325" s="225"/>
    </row>
    <row r="326" spans="1:25" ht="15.6" x14ac:dyDescent="0.3">
      <c r="A326" s="119"/>
      <c r="B326" s="117">
        <v>4</v>
      </c>
      <c r="C326" s="67"/>
      <c r="D326" s="69"/>
      <c r="E326" s="69"/>
      <c r="F326" s="68"/>
      <c r="G326" s="69"/>
      <c r="H326" s="69"/>
      <c r="I326" s="69"/>
      <c r="J326" s="70"/>
      <c r="K326" s="70"/>
      <c r="L326" s="70"/>
      <c r="M326" s="70"/>
      <c r="N326" s="59"/>
      <c r="O326" s="60"/>
      <c r="P326" s="61"/>
      <c r="Q326" s="60"/>
      <c r="R326" s="61"/>
      <c r="S326" s="60"/>
      <c r="T326" s="62"/>
      <c r="U326" s="224"/>
      <c r="V326" s="225"/>
    </row>
    <row r="327" spans="1:25" ht="15.6" x14ac:dyDescent="0.3">
      <c r="A327" s="119"/>
      <c r="B327" s="116">
        <v>5</v>
      </c>
      <c r="C327" s="67"/>
      <c r="D327" s="69"/>
      <c r="E327" s="69"/>
      <c r="F327" s="69"/>
      <c r="G327" s="68"/>
      <c r="H327" s="69"/>
      <c r="I327" s="69"/>
      <c r="J327" s="70"/>
      <c r="K327" s="70"/>
      <c r="L327" s="70"/>
      <c r="M327" s="70"/>
      <c r="N327" s="59"/>
      <c r="O327" s="60"/>
      <c r="P327" s="61"/>
      <c r="Q327" s="60"/>
      <c r="R327" s="61"/>
      <c r="S327" s="60"/>
      <c r="T327" s="62"/>
      <c r="U327" s="224"/>
      <c r="V327" s="225"/>
    </row>
    <row r="328" spans="1:25" ht="15.6" x14ac:dyDescent="0.3">
      <c r="A328" s="119"/>
      <c r="B328" s="117">
        <v>6</v>
      </c>
      <c r="C328" s="67"/>
      <c r="D328" s="69"/>
      <c r="E328" s="69"/>
      <c r="F328" s="69"/>
      <c r="G328" s="69"/>
      <c r="H328" s="68"/>
      <c r="I328" s="69"/>
      <c r="J328" s="70"/>
      <c r="K328" s="70"/>
      <c r="L328" s="70"/>
      <c r="M328" s="70"/>
      <c r="N328" s="59"/>
      <c r="O328" s="60"/>
      <c r="P328" s="61"/>
      <c r="Q328" s="60"/>
      <c r="R328" s="61"/>
      <c r="S328" s="60"/>
      <c r="T328" s="62"/>
      <c r="U328" s="224"/>
      <c r="V328" s="225"/>
    </row>
    <row r="329" spans="1:25" ht="15.6" x14ac:dyDescent="0.3">
      <c r="A329" s="119"/>
      <c r="B329" s="116">
        <v>7</v>
      </c>
      <c r="C329" s="67"/>
      <c r="D329" s="69"/>
      <c r="E329" s="69"/>
      <c r="F329" s="69"/>
      <c r="G329" s="69"/>
      <c r="H329" s="69"/>
      <c r="I329" s="68"/>
      <c r="J329" s="83"/>
      <c r="K329" s="83"/>
      <c r="L329" s="83"/>
      <c r="M329" s="83"/>
      <c r="N329" s="84"/>
      <c r="O329" s="60"/>
      <c r="P329" s="61"/>
      <c r="Q329" s="60"/>
      <c r="R329" s="61"/>
      <c r="S329" s="60"/>
      <c r="T329" s="62"/>
      <c r="U329" s="224"/>
      <c r="V329" s="225"/>
    </row>
    <row r="330" spans="1:25" ht="15.6" x14ac:dyDescent="0.3">
      <c r="A330" s="119"/>
      <c r="B330" s="117">
        <v>8</v>
      </c>
      <c r="C330" s="87"/>
      <c r="D330" s="88"/>
      <c r="E330" s="88"/>
      <c r="F330" s="88"/>
      <c r="G330" s="88"/>
      <c r="H330" s="88"/>
      <c r="I330" s="89"/>
      <c r="J330" s="90"/>
      <c r="K330" s="91"/>
      <c r="L330" s="91"/>
      <c r="M330" s="91"/>
      <c r="N330" s="84"/>
      <c r="O330" s="60"/>
      <c r="P330" s="61"/>
      <c r="Q330" s="60"/>
      <c r="R330" s="61"/>
      <c r="S330" s="60"/>
      <c r="T330" s="62"/>
      <c r="U330" s="224"/>
      <c r="V330" s="225"/>
    </row>
    <row r="331" spans="1:25" ht="15.6" x14ac:dyDescent="0.3">
      <c r="A331" s="119"/>
      <c r="B331" s="116">
        <v>9</v>
      </c>
      <c r="C331" s="87"/>
      <c r="D331" s="88"/>
      <c r="E331" s="88"/>
      <c r="F331" s="88"/>
      <c r="G331" s="88"/>
      <c r="H331" s="88"/>
      <c r="I331" s="89"/>
      <c r="J331" s="91"/>
      <c r="K331" s="90"/>
      <c r="L331" s="91"/>
      <c r="M331" s="91"/>
      <c r="N331" s="84"/>
      <c r="O331" s="60"/>
      <c r="P331" s="61"/>
      <c r="Q331" s="60"/>
      <c r="R331" s="61"/>
      <c r="S331" s="60"/>
      <c r="T331" s="62"/>
      <c r="U331" s="224"/>
      <c r="V331" s="225"/>
    </row>
    <row r="332" spans="1:25" ht="15.6" x14ac:dyDescent="0.3">
      <c r="A332" s="119"/>
      <c r="B332" s="117">
        <v>10</v>
      </c>
      <c r="C332" s="87"/>
      <c r="D332" s="88"/>
      <c r="E332" s="88"/>
      <c r="F332" s="88"/>
      <c r="G332" s="88"/>
      <c r="H332" s="88"/>
      <c r="I332" s="89"/>
      <c r="J332" s="91"/>
      <c r="K332" s="91"/>
      <c r="L332" s="90"/>
      <c r="M332" s="91"/>
      <c r="N332" s="84"/>
      <c r="O332" s="60"/>
      <c r="P332" s="61"/>
      <c r="Q332" s="60"/>
      <c r="R332" s="61"/>
      <c r="S332" s="60"/>
      <c r="T332" s="62"/>
      <c r="U332" s="224"/>
      <c r="V332" s="225"/>
    </row>
    <row r="333" spans="1:25" ht="15.6" x14ac:dyDescent="0.3">
      <c r="A333" s="119"/>
      <c r="B333" s="116">
        <v>11</v>
      </c>
      <c r="C333" s="87"/>
      <c r="D333" s="88"/>
      <c r="E333" s="88"/>
      <c r="F333" s="88"/>
      <c r="G333" s="88"/>
      <c r="H333" s="88"/>
      <c r="I333" s="89"/>
      <c r="J333" s="91"/>
      <c r="K333" s="91"/>
      <c r="L333" s="91"/>
      <c r="M333" s="90"/>
      <c r="N333" s="84"/>
      <c r="O333" s="60"/>
      <c r="P333" s="61"/>
      <c r="Q333" s="60"/>
      <c r="R333" s="61"/>
      <c r="S333" s="60"/>
      <c r="T333" s="62"/>
      <c r="U333" s="224"/>
      <c r="V333" s="225"/>
    </row>
    <row r="334" spans="1:25" ht="16.2" thickBot="1" x14ac:dyDescent="0.35">
      <c r="A334" s="121"/>
      <c r="B334" s="122">
        <v>12</v>
      </c>
      <c r="C334" s="97"/>
      <c r="D334" s="98"/>
      <c r="E334" s="98"/>
      <c r="F334" s="98"/>
      <c r="G334" s="98"/>
      <c r="H334" s="98"/>
      <c r="I334" s="98"/>
      <c r="J334" s="99"/>
      <c r="K334" s="99"/>
      <c r="L334" s="99"/>
      <c r="M334" s="99"/>
      <c r="N334" s="100"/>
      <c r="O334" s="101"/>
      <c r="P334" s="102"/>
      <c r="Q334" s="101"/>
      <c r="R334" s="102"/>
      <c r="S334" s="101"/>
      <c r="T334" s="103"/>
      <c r="U334" s="231"/>
      <c r="V334" s="232"/>
    </row>
    <row r="336" spans="1:25" x14ac:dyDescent="0.25">
      <c r="A336" s="76" t="s">
        <v>556</v>
      </c>
    </row>
    <row r="337" spans="1:25" x14ac:dyDescent="0.25">
      <c r="A337" s="111"/>
      <c r="B337" s="76"/>
      <c r="C337" s="76"/>
      <c r="D337" s="76"/>
      <c r="E337" s="76"/>
      <c r="F337" s="76"/>
      <c r="G337" s="76"/>
      <c r="H337" s="76"/>
      <c r="I337" s="76"/>
      <c r="J337" s="76"/>
      <c r="K337" s="76"/>
      <c r="L337" s="76"/>
      <c r="M337" s="76"/>
      <c r="N337" s="76"/>
      <c r="O337" s="76"/>
      <c r="P337" s="76"/>
      <c r="W337" s="76"/>
      <c r="X337" s="76"/>
      <c r="Y337" s="76"/>
    </row>
    <row r="338" spans="1:25" ht="15" x14ac:dyDescent="0.25">
      <c r="A338" s="76"/>
      <c r="I338" s="76"/>
      <c r="J338" s="76"/>
      <c r="K338" s="76"/>
      <c r="L338" s="76"/>
      <c r="M338" s="76"/>
      <c r="N338" s="75"/>
      <c r="O338" s="75"/>
      <c r="P338" s="92"/>
      <c r="Q338" s="63"/>
    </row>
    <row r="339" spans="1:25" x14ac:dyDescent="0.25">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row>
    <row r="340" spans="1:25" ht="15" x14ac:dyDescent="0.25">
      <c r="A340" s="82"/>
      <c r="H340" s="82"/>
      <c r="I340" s="82"/>
      <c r="J340" s="82"/>
      <c r="K340" s="82"/>
      <c r="L340" s="82"/>
      <c r="M340" s="82"/>
      <c r="N340" s="82"/>
      <c r="O340" s="82"/>
      <c r="P340" s="94"/>
      <c r="Q340" s="54"/>
    </row>
    <row r="344" spans="1:25" ht="22.8" x14ac:dyDescent="0.4">
      <c r="A344" s="112" t="s">
        <v>627</v>
      </c>
    </row>
    <row r="345" spans="1:25" ht="13.8" thickBot="1" x14ac:dyDescent="0.3"/>
    <row r="346" spans="1:25" ht="100.2" customHeight="1" thickBot="1" x14ac:dyDescent="0.55000000000000004">
      <c r="A346" s="214" t="str">
        <f>CONCATENATE(AH15,"                ",AG15)</f>
        <v>SABEL                groot wapen</v>
      </c>
      <c r="B346" s="215"/>
      <c r="C346" s="216" t="str">
        <f>CONCATENATE(AE15,"                     ", AF15)</f>
        <v>LOPER                      gemengd elek./mech.</v>
      </c>
      <c r="D346" s="217"/>
      <c r="E346" s="218"/>
      <c r="F346" s="218"/>
      <c r="G346" s="218"/>
      <c r="H346" s="218"/>
      <c r="I346" s="218"/>
      <c r="J346" s="218"/>
      <c r="K346" s="219"/>
      <c r="L346" s="220">
        <f>AC14</f>
        <v>0</v>
      </c>
      <c r="M346" s="221"/>
      <c r="N346" s="42" t="s">
        <v>503</v>
      </c>
      <c r="O346" s="222" t="s">
        <v>504</v>
      </c>
      <c r="P346" s="223"/>
      <c r="Q346" s="222" t="s">
        <v>505</v>
      </c>
      <c r="R346" s="223"/>
      <c r="S346" s="222" t="s">
        <v>506</v>
      </c>
      <c r="T346" s="223"/>
      <c r="U346" s="234" t="s">
        <v>584</v>
      </c>
      <c r="V346" s="235"/>
      <c r="W346" s="130"/>
      <c r="X346" s="209" t="s">
        <v>485</v>
      </c>
      <c r="Y346" s="132"/>
    </row>
    <row r="347" spans="1:25" ht="16.2" thickBot="1" x14ac:dyDescent="0.35">
      <c r="A347" s="49" t="s">
        <v>508</v>
      </c>
      <c r="B347" s="113"/>
      <c r="C347" s="45">
        <v>1</v>
      </c>
      <c r="D347" s="46">
        <v>2</v>
      </c>
      <c r="E347" s="46">
        <v>3</v>
      </c>
      <c r="F347" s="46">
        <v>4</v>
      </c>
      <c r="G347" s="46">
        <v>5</v>
      </c>
      <c r="H347" s="46">
        <v>6</v>
      </c>
      <c r="I347" s="46">
        <v>7</v>
      </c>
      <c r="J347" s="46">
        <v>8</v>
      </c>
      <c r="K347" s="46">
        <v>9</v>
      </c>
      <c r="L347" s="47">
        <v>10</v>
      </c>
      <c r="M347" s="47">
        <v>11</v>
      </c>
      <c r="N347" s="48">
        <v>12</v>
      </c>
      <c r="O347" s="49" t="s">
        <v>509</v>
      </c>
      <c r="P347" s="50" t="s">
        <v>510</v>
      </c>
      <c r="Q347" s="51" t="s">
        <v>509</v>
      </c>
      <c r="R347" s="48" t="s">
        <v>510</v>
      </c>
      <c r="S347" s="51" t="s">
        <v>509</v>
      </c>
      <c r="T347" s="52" t="s">
        <v>510</v>
      </c>
      <c r="U347" s="236"/>
      <c r="V347" s="237"/>
      <c r="W347" s="131"/>
      <c r="X347" s="131"/>
      <c r="Y347" s="131"/>
    </row>
    <row r="348" spans="1:25" ht="15.6" x14ac:dyDescent="0.3">
      <c r="A348" s="119"/>
      <c r="B348" s="116">
        <v>1</v>
      </c>
      <c r="C348" s="56"/>
      <c r="D348" s="57"/>
      <c r="E348" s="57"/>
      <c r="F348" s="57"/>
      <c r="G348" s="57"/>
      <c r="H348" s="57"/>
      <c r="I348" s="57"/>
      <c r="J348" s="58"/>
      <c r="K348" s="58"/>
      <c r="L348" s="58"/>
      <c r="M348" s="58"/>
      <c r="N348" s="59"/>
      <c r="O348" s="60"/>
      <c r="P348" s="61"/>
      <c r="Q348" s="60"/>
      <c r="R348" s="61"/>
      <c r="S348" s="60"/>
      <c r="T348" s="62"/>
      <c r="U348" s="224"/>
      <c r="V348" s="225"/>
    </row>
    <row r="349" spans="1:25" ht="15.6" x14ac:dyDescent="0.3">
      <c r="A349" s="119"/>
      <c r="B349" s="117">
        <v>2</v>
      </c>
      <c r="C349" s="67"/>
      <c r="D349" s="68"/>
      <c r="E349" s="69"/>
      <c r="F349" s="69"/>
      <c r="G349" s="69"/>
      <c r="H349" s="69"/>
      <c r="I349" s="69"/>
      <c r="J349" s="70"/>
      <c r="K349" s="70"/>
      <c r="L349" s="70"/>
      <c r="M349" s="70"/>
      <c r="N349" s="59"/>
      <c r="O349" s="60"/>
      <c r="P349" s="61"/>
      <c r="Q349" s="60"/>
      <c r="R349" s="61"/>
      <c r="S349" s="60"/>
      <c r="T349" s="62"/>
      <c r="U349" s="224"/>
      <c r="V349" s="225"/>
    </row>
    <row r="350" spans="1:25" ht="15.6" x14ac:dyDescent="0.3">
      <c r="A350" s="119"/>
      <c r="B350" s="116">
        <v>3</v>
      </c>
      <c r="C350" s="67"/>
      <c r="D350" s="69"/>
      <c r="E350" s="68"/>
      <c r="F350" s="69"/>
      <c r="G350" s="69"/>
      <c r="H350" s="69"/>
      <c r="I350" s="69"/>
      <c r="J350" s="70"/>
      <c r="K350" s="70"/>
      <c r="L350" s="70"/>
      <c r="M350" s="70"/>
      <c r="N350" s="59"/>
      <c r="O350" s="60"/>
      <c r="P350" s="61"/>
      <c r="Q350" s="60"/>
      <c r="R350" s="61"/>
      <c r="S350" s="60"/>
      <c r="T350" s="62"/>
      <c r="U350" s="224"/>
      <c r="V350" s="225"/>
    </row>
    <row r="351" spans="1:25" ht="15.6" x14ac:dyDescent="0.3">
      <c r="A351" s="119"/>
      <c r="B351" s="117">
        <v>4</v>
      </c>
      <c r="C351" s="67"/>
      <c r="D351" s="69"/>
      <c r="E351" s="69"/>
      <c r="F351" s="68"/>
      <c r="G351" s="69"/>
      <c r="H351" s="69"/>
      <c r="I351" s="69"/>
      <c r="J351" s="70"/>
      <c r="K351" s="70"/>
      <c r="L351" s="70"/>
      <c r="M351" s="70"/>
      <c r="N351" s="59"/>
      <c r="O351" s="60"/>
      <c r="P351" s="61"/>
      <c r="Q351" s="60"/>
      <c r="R351" s="61"/>
      <c r="S351" s="60"/>
      <c r="T351" s="62"/>
      <c r="U351" s="224"/>
      <c r="V351" s="225"/>
    </row>
    <row r="352" spans="1:25" ht="15.6" x14ac:dyDescent="0.3">
      <c r="A352" s="119"/>
      <c r="B352" s="116">
        <v>5</v>
      </c>
      <c r="C352" s="67"/>
      <c r="D352" s="69"/>
      <c r="E352" s="69"/>
      <c r="F352" s="69"/>
      <c r="G352" s="68"/>
      <c r="H352" s="69"/>
      <c r="I352" s="69"/>
      <c r="J352" s="70"/>
      <c r="K352" s="70"/>
      <c r="L352" s="70"/>
      <c r="M352" s="70"/>
      <c r="N352" s="59"/>
      <c r="O352" s="60"/>
      <c r="P352" s="61"/>
      <c r="Q352" s="60"/>
      <c r="R352" s="61"/>
      <c r="S352" s="60"/>
      <c r="T352" s="62"/>
      <c r="U352" s="224"/>
      <c r="V352" s="225"/>
    </row>
    <row r="353" spans="1:25" ht="15.6" x14ac:dyDescent="0.3">
      <c r="A353" s="119"/>
      <c r="B353" s="117">
        <v>6</v>
      </c>
      <c r="C353" s="67"/>
      <c r="D353" s="69"/>
      <c r="E353" s="69"/>
      <c r="F353" s="69"/>
      <c r="G353" s="69"/>
      <c r="H353" s="68"/>
      <c r="I353" s="69"/>
      <c r="J353" s="70"/>
      <c r="K353" s="70"/>
      <c r="L353" s="70"/>
      <c r="M353" s="70"/>
      <c r="N353" s="59"/>
      <c r="O353" s="60"/>
      <c r="P353" s="61"/>
      <c r="Q353" s="60"/>
      <c r="R353" s="61"/>
      <c r="S353" s="60"/>
      <c r="T353" s="62"/>
      <c r="U353" s="224"/>
      <c r="V353" s="225"/>
    </row>
    <row r="354" spans="1:25" ht="15.6" x14ac:dyDescent="0.3">
      <c r="A354" s="119"/>
      <c r="B354" s="116">
        <v>7</v>
      </c>
      <c r="C354" s="67"/>
      <c r="D354" s="69"/>
      <c r="E354" s="69"/>
      <c r="F354" s="69"/>
      <c r="G354" s="69"/>
      <c r="H354" s="69"/>
      <c r="I354" s="68"/>
      <c r="J354" s="83"/>
      <c r="K354" s="83"/>
      <c r="L354" s="83"/>
      <c r="M354" s="83"/>
      <c r="N354" s="84"/>
      <c r="O354" s="60"/>
      <c r="P354" s="61"/>
      <c r="Q354" s="60"/>
      <c r="R354" s="61"/>
      <c r="S354" s="60"/>
      <c r="T354" s="62"/>
      <c r="U354" s="224"/>
      <c r="V354" s="225"/>
    </row>
    <row r="355" spans="1:25" ht="15.6" x14ac:dyDescent="0.3">
      <c r="A355" s="119"/>
      <c r="B355" s="117">
        <v>8</v>
      </c>
      <c r="C355" s="87"/>
      <c r="D355" s="88"/>
      <c r="E355" s="88"/>
      <c r="F355" s="88"/>
      <c r="G355" s="88"/>
      <c r="H355" s="88"/>
      <c r="I355" s="89"/>
      <c r="J355" s="90"/>
      <c r="K355" s="91"/>
      <c r="L355" s="91"/>
      <c r="M355" s="91"/>
      <c r="N355" s="84"/>
      <c r="O355" s="60"/>
      <c r="P355" s="61"/>
      <c r="Q355" s="60"/>
      <c r="R355" s="61"/>
      <c r="S355" s="60"/>
      <c r="T355" s="62"/>
      <c r="U355" s="224"/>
      <c r="V355" s="225"/>
    </row>
    <row r="356" spans="1:25" ht="15.6" x14ac:dyDescent="0.3">
      <c r="A356" s="119"/>
      <c r="B356" s="116">
        <v>9</v>
      </c>
      <c r="C356" s="87"/>
      <c r="D356" s="88"/>
      <c r="E356" s="88"/>
      <c r="F356" s="88"/>
      <c r="G356" s="88"/>
      <c r="H356" s="88"/>
      <c r="I356" s="89"/>
      <c r="J356" s="91"/>
      <c r="K356" s="90"/>
      <c r="L356" s="91"/>
      <c r="M356" s="91"/>
      <c r="N356" s="84"/>
      <c r="O356" s="60"/>
      <c r="P356" s="61"/>
      <c r="Q356" s="60"/>
      <c r="R356" s="61"/>
      <c r="S356" s="60"/>
      <c r="T356" s="62"/>
      <c r="U356" s="224"/>
      <c r="V356" s="225"/>
    </row>
    <row r="357" spans="1:25" ht="15.6" x14ac:dyDescent="0.3">
      <c r="A357" s="119"/>
      <c r="B357" s="117">
        <v>10</v>
      </c>
      <c r="C357" s="87"/>
      <c r="D357" s="88"/>
      <c r="E357" s="88"/>
      <c r="F357" s="88"/>
      <c r="G357" s="88"/>
      <c r="H357" s="88"/>
      <c r="I357" s="89"/>
      <c r="J357" s="91"/>
      <c r="K357" s="91"/>
      <c r="L357" s="90"/>
      <c r="M357" s="91"/>
      <c r="N357" s="84"/>
      <c r="O357" s="60"/>
      <c r="P357" s="61"/>
      <c r="Q357" s="60"/>
      <c r="R357" s="61"/>
      <c r="S357" s="60"/>
      <c r="T357" s="62"/>
      <c r="U357" s="224"/>
      <c r="V357" s="225"/>
    </row>
    <row r="358" spans="1:25" ht="15.6" x14ac:dyDescent="0.3">
      <c r="A358" s="119"/>
      <c r="B358" s="116">
        <v>11</v>
      </c>
      <c r="C358" s="87"/>
      <c r="D358" s="88"/>
      <c r="E358" s="88"/>
      <c r="F358" s="88"/>
      <c r="G358" s="88"/>
      <c r="H358" s="88"/>
      <c r="I358" s="89"/>
      <c r="J358" s="91"/>
      <c r="K358" s="91"/>
      <c r="L358" s="91"/>
      <c r="M358" s="90"/>
      <c r="N358" s="84"/>
      <c r="O358" s="60"/>
      <c r="P358" s="61"/>
      <c r="Q358" s="60"/>
      <c r="R358" s="61"/>
      <c r="S358" s="60"/>
      <c r="T358" s="62"/>
      <c r="U358" s="224"/>
      <c r="V358" s="225"/>
    </row>
    <row r="359" spans="1:25" ht="16.2" thickBot="1" x14ac:dyDescent="0.35">
      <c r="A359" s="121"/>
      <c r="B359" s="122">
        <v>12</v>
      </c>
      <c r="C359" s="97"/>
      <c r="D359" s="98"/>
      <c r="E359" s="98"/>
      <c r="F359" s="98"/>
      <c r="G359" s="98"/>
      <c r="H359" s="98"/>
      <c r="I359" s="98"/>
      <c r="J359" s="99"/>
      <c r="K359" s="99"/>
      <c r="L359" s="99"/>
      <c r="M359" s="99"/>
      <c r="N359" s="100"/>
      <c r="O359" s="101"/>
      <c r="P359" s="102"/>
      <c r="Q359" s="101"/>
      <c r="R359" s="102"/>
      <c r="S359" s="101"/>
      <c r="T359" s="103"/>
      <c r="U359" s="231"/>
      <c r="V359" s="232"/>
    </row>
    <row r="361" spans="1:25" x14ac:dyDescent="0.25">
      <c r="A361" s="76" t="s">
        <v>556</v>
      </c>
    </row>
    <row r="362" spans="1:25" x14ac:dyDescent="0.25">
      <c r="A362" s="111"/>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row>
    <row r="363" spans="1:25" x14ac:dyDescent="0.25">
      <c r="A363" s="76"/>
    </row>
    <row r="364" spans="1:25" x14ac:dyDescent="0.25">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row>
    <row r="365" spans="1:25" ht="15" x14ac:dyDescent="0.25">
      <c r="A365" s="82"/>
      <c r="H365" s="82"/>
      <c r="I365" s="82"/>
      <c r="J365" s="82"/>
      <c r="K365" s="82"/>
      <c r="L365" s="82"/>
      <c r="M365" s="82"/>
      <c r="N365" s="82"/>
      <c r="O365" s="82"/>
      <c r="P365" s="94"/>
      <c r="Q365" s="54"/>
    </row>
    <row r="369" spans="1:25" ht="22.8" x14ac:dyDescent="0.4">
      <c r="A369" s="112" t="s">
        <v>627</v>
      </c>
    </row>
    <row r="370" spans="1:25" ht="13.8" thickBot="1" x14ac:dyDescent="0.3"/>
    <row r="371" spans="1:25" ht="100.2" customHeight="1" thickBot="1" x14ac:dyDescent="0.55000000000000004">
      <c r="A371" s="214" t="str">
        <f>CONCATENATE(AH16,"                ",AG16)</f>
        <v>SABEL                groot wapen</v>
      </c>
      <c r="B371" s="215"/>
      <c r="C371" s="216" t="str">
        <f>CONCATENATE(AE16,"                     ", AF16)</f>
        <v>LOPER                      gemengd elek./mech.</v>
      </c>
      <c r="D371" s="217"/>
      <c r="E371" s="218"/>
      <c r="F371" s="218"/>
      <c r="G371" s="218"/>
      <c r="H371" s="218"/>
      <c r="I371" s="218"/>
      <c r="J371" s="218"/>
      <c r="K371" s="219"/>
      <c r="L371" s="220">
        <f>AC16</f>
        <v>0</v>
      </c>
      <c r="M371" s="221"/>
      <c r="N371" s="42" t="s">
        <v>503</v>
      </c>
      <c r="O371" s="222" t="s">
        <v>504</v>
      </c>
      <c r="P371" s="223"/>
      <c r="Q371" s="222" t="s">
        <v>505</v>
      </c>
      <c r="R371" s="223"/>
      <c r="S371" s="222" t="s">
        <v>506</v>
      </c>
      <c r="T371" s="223"/>
      <c r="U371" s="234" t="s">
        <v>584</v>
      </c>
      <c r="V371" s="235"/>
      <c r="W371" s="130"/>
      <c r="X371" s="209" t="s">
        <v>489</v>
      </c>
      <c r="Y371" s="132"/>
    </row>
    <row r="372" spans="1:25" ht="16.2" thickBot="1" x14ac:dyDescent="0.35">
      <c r="A372" s="49" t="s">
        <v>508</v>
      </c>
      <c r="B372" s="113"/>
      <c r="C372" s="45">
        <v>1</v>
      </c>
      <c r="D372" s="46">
        <v>2</v>
      </c>
      <c r="E372" s="46">
        <v>3</v>
      </c>
      <c r="F372" s="46">
        <v>4</v>
      </c>
      <c r="G372" s="46">
        <v>5</v>
      </c>
      <c r="H372" s="46">
        <v>6</v>
      </c>
      <c r="I372" s="46">
        <v>7</v>
      </c>
      <c r="J372" s="46">
        <v>8</v>
      </c>
      <c r="K372" s="46">
        <v>9</v>
      </c>
      <c r="L372" s="47">
        <v>10</v>
      </c>
      <c r="M372" s="47">
        <v>11</v>
      </c>
      <c r="N372" s="48">
        <v>12</v>
      </c>
      <c r="O372" s="49" t="s">
        <v>509</v>
      </c>
      <c r="P372" s="50" t="s">
        <v>510</v>
      </c>
      <c r="Q372" s="51" t="s">
        <v>509</v>
      </c>
      <c r="R372" s="48" t="s">
        <v>510</v>
      </c>
      <c r="S372" s="51" t="s">
        <v>509</v>
      </c>
      <c r="T372" s="52" t="s">
        <v>510</v>
      </c>
      <c r="U372" s="236"/>
      <c r="V372" s="237"/>
      <c r="W372" s="131"/>
      <c r="X372" s="131"/>
      <c r="Y372" s="131"/>
    </row>
    <row r="373" spans="1:25" ht="15.6" x14ac:dyDescent="0.3">
      <c r="A373" s="119"/>
      <c r="B373" s="116">
        <v>1</v>
      </c>
      <c r="C373" s="56"/>
      <c r="D373" s="57"/>
      <c r="E373" s="57"/>
      <c r="F373" s="57"/>
      <c r="G373" s="57"/>
      <c r="H373" s="57"/>
      <c r="I373" s="57"/>
      <c r="J373" s="58"/>
      <c r="K373" s="58"/>
      <c r="L373" s="58"/>
      <c r="M373" s="58"/>
      <c r="N373" s="59"/>
      <c r="O373" s="60"/>
      <c r="P373" s="61"/>
      <c r="Q373" s="60"/>
      <c r="R373" s="61"/>
      <c r="S373" s="60"/>
      <c r="T373" s="62"/>
      <c r="U373" s="224"/>
      <c r="V373" s="225"/>
    </row>
    <row r="374" spans="1:25" ht="15.6" x14ac:dyDescent="0.3">
      <c r="A374" s="119"/>
      <c r="B374" s="117">
        <v>2</v>
      </c>
      <c r="C374" s="67"/>
      <c r="D374" s="68"/>
      <c r="E374" s="69"/>
      <c r="F374" s="69"/>
      <c r="G374" s="69"/>
      <c r="H374" s="69"/>
      <c r="I374" s="69"/>
      <c r="J374" s="70"/>
      <c r="K374" s="70"/>
      <c r="L374" s="70"/>
      <c r="M374" s="70"/>
      <c r="N374" s="59"/>
      <c r="O374" s="60"/>
      <c r="P374" s="61"/>
      <c r="Q374" s="60"/>
      <c r="R374" s="61"/>
      <c r="S374" s="60"/>
      <c r="T374" s="62"/>
      <c r="U374" s="224"/>
      <c r="V374" s="225"/>
    </row>
    <row r="375" spans="1:25" ht="15.6" x14ac:dyDescent="0.3">
      <c r="A375" s="119"/>
      <c r="B375" s="116">
        <v>3</v>
      </c>
      <c r="C375" s="67"/>
      <c r="D375" s="69"/>
      <c r="E375" s="68"/>
      <c r="F375" s="69"/>
      <c r="G375" s="69"/>
      <c r="H375" s="69"/>
      <c r="I375" s="69"/>
      <c r="J375" s="70"/>
      <c r="K375" s="70"/>
      <c r="L375" s="70"/>
      <c r="M375" s="70"/>
      <c r="N375" s="59"/>
      <c r="O375" s="60"/>
      <c r="P375" s="61"/>
      <c r="Q375" s="60"/>
      <c r="R375" s="61"/>
      <c r="S375" s="60"/>
      <c r="T375" s="62"/>
      <c r="U375" s="224"/>
      <c r="V375" s="225"/>
    </row>
    <row r="376" spans="1:25" ht="15.6" x14ac:dyDescent="0.3">
      <c r="A376" s="119"/>
      <c r="B376" s="117">
        <v>4</v>
      </c>
      <c r="C376" s="67"/>
      <c r="D376" s="69"/>
      <c r="E376" s="69"/>
      <c r="F376" s="68"/>
      <c r="G376" s="69"/>
      <c r="H376" s="69"/>
      <c r="I376" s="69"/>
      <c r="J376" s="70"/>
      <c r="K376" s="70"/>
      <c r="L376" s="70"/>
      <c r="M376" s="70"/>
      <c r="N376" s="59"/>
      <c r="O376" s="60"/>
      <c r="P376" s="61"/>
      <c r="Q376" s="60"/>
      <c r="R376" s="61"/>
      <c r="S376" s="60"/>
      <c r="T376" s="62"/>
      <c r="U376" s="224"/>
      <c r="V376" s="225"/>
    </row>
    <row r="377" spans="1:25" ht="15.6" x14ac:dyDescent="0.3">
      <c r="A377" s="119"/>
      <c r="B377" s="116">
        <v>5</v>
      </c>
      <c r="C377" s="67"/>
      <c r="D377" s="69"/>
      <c r="E377" s="69"/>
      <c r="F377" s="69"/>
      <c r="G377" s="68"/>
      <c r="H377" s="69"/>
      <c r="I377" s="69"/>
      <c r="J377" s="70"/>
      <c r="K377" s="70"/>
      <c r="L377" s="70"/>
      <c r="M377" s="70"/>
      <c r="N377" s="59"/>
      <c r="O377" s="60"/>
      <c r="P377" s="61"/>
      <c r="Q377" s="60"/>
      <c r="R377" s="61"/>
      <c r="S377" s="60"/>
      <c r="T377" s="62"/>
      <c r="U377" s="224"/>
      <c r="V377" s="225"/>
    </row>
    <row r="378" spans="1:25" ht="15.6" x14ac:dyDescent="0.3">
      <c r="A378" s="119"/>
      <c r="B378" s="117">
        <v>6</v>
      </c>
      <c r="C378" s="67"/>
      <c r="D378" s="69"/>
      <c r="E378" s="69"/>
      <c r="F378" s="69"/>
      <c r="G378" s="69"/>
      <c r="H378" s="68"/>
      <c r="I378" s="69"/>
      <c r="J378" s="70"/>
      <c r="K378" s="70"/>
      <c r="L378" s="70"/>
      <c r="M378" s="70"/>
      <c r="N378" s="59"/>
      <c r="O378" s="60"/>
      <c r="P378" s="61"/>
      <c r="Q378" s="60"/>
      <c r="R378" s="61"/>
      <c r="S378" s="60"/>
      <c r="T378" s="62"/>
      <c r="U378" s="224"/>
      <c r="V378" s="225"/>
    </row>
    <row r="379" spans="1:25" ht="15.6" x14ac:dyDescent="0.3">
      <c r="A379" s="119"/>
      <c r="B379" s="116">
        <v>7</v>
      </c>
      <c r="C379" s="67"/>
      <c r="D379" s="69"/>
      <c r="E379" s="69"/>
      <c r="F379" s="69"/>
      <c r="G379" s="69"/>
      <c r="H379" s="69"/>
      <c r="I379" s="68"/>
      <c r="J379" s="83"/>
      <c r="K379" s="83"/>
      <c r="L379" s="83"/>
      <c r="M379" s="83"/>
      <c r="N379" s="84"/>
      <c r="O379" s="60"/>
      <c r="P379" s="61"/>
      <c r="Q379" s="60"/>
      <c r="R379" s="61"/>
      <c r="S379" s="60"/>
      <c r="T379" s="62"/>
      <c r="U379" s="224"/>
      <c r="V379" s="225"/>
    </row>
    <row r="380" spans="1:25" ht="15.6" x14ac:dyDescent="0.3">
      <c r="A380" s="119"/>
      <c r="B380" s="117">
        <v>8</v>
      </c>
      <c r="C380" s="87"/>
      <c r="D380" s="88"/>
      <c r="E380" s="88"/>
      <c r="F380" s="88"/>
      <c r="G380" s="88"/>
      <c r="H380" s="88"/>
      <c r="I380" s="89"/>
      <c r="J380" s="90"/>
      <c r="K380" s="91"/>
      <c r="L380" s="91"/>
      <c r="M380" s="91"/>
      <c r="N380" s="84"/>
      <c r="O380" s="60"/>
      <c r="P380" s="61"/>
      <c r="Q380" s="60"/>
      <c r="R380" s="61"/>
      <c r="S380" s="60"/>
      <c r="T380" s="62"/>
      <c r="U380" s="224"/>
      <c r="V380" s="225"/>
    </row>
    <row r="381" spans="1:25" ht="15.6" x14ac:dyDescent="0.3">
      <c r="A381" s="119"/>
      <c r="B381" s="116">
        <v>9</v>
      </c>
      <c r="C381" s="87"/>
      <c r="D381" s="88"/>
      <c r="E381" s="88"/>
      <c r="F381" s="88"/>
      <c r="G381" s="88"/>
      <c r="H381" s="88"/>
      <c r="I381" s="89"/>
      <c r="J381" s="91"/>
      <c r="K381" s="90"/>
      <c r="L381" s="91"/>
      <c r="M381" s="91"/>
      <c r="N381" s="84"/>
      <c r="O381" s="60"/>
      <c r="P381" s="61"/>
      <c r="Q381" s="60"/>
      <c r="R381" s="61"/>
      <c r="S381" s="60"/>
      <c r="T381" s="62"/>
      <c r="U381" s="224"/>
      <c r="V381" s="225"/>
    </row>
    <row r="382" spans="1:25" ht="15.6" x14ac:dyDescent="0.3">
      <c r="A382" s="119"/>
      <c r="B382" s="117">
        <v>10</v>
      </c>
      <c r="C382" s="87"/>
      <c r="D382" s="88"/>
      <c r="E382" s="88"/>
      <c r="F382" s="88"/>
      <c r="G382" s="88"/>
      <c r="H382" s="88"/>
      <c r="I382" s="89"/>
      <c r="J382" s="91"/>
      <c r="K382" s="91"/>
      <c r="L382" s="90"/>
      <c r="M382" s="91"/>
      <c r="N382" s="84"/>
      <c r="O382" s="60"/>
      <c r="P382" s="61"/>
      <c r="Q382" s="60"/>
      <c r="R382" s="61"/>
      <c r="S382" s="60"/>
      <c r="T382" s="62"/>
      <c r="U382" s="224"/>
      <c r="V382" s="225"/>
    </row>
    <row r="383" spans="1:25" ht="15.6" x14ac:dyDescent="0.3">
      <c r="A383" s="119"/>
      <c r="B383" s="116">
        <v>11</v>
      </c>
      <c r="C383" s="87"/>
      <c r="D383" s="88"/>
      <c r="E383" s="88"/>
      <c r="F383" s="88"/>
      <c r="G383" s="88"/>
      <c r="H383" s="88"/>
      <c r="I383" s="89"/>
      <c r="J383" s="91"/>
      <c r="K383" s="91"/>
      <c r="L383" s="91"/>
      <c r="M383" s="90"/>
      <c r="N383" s="84"/>
      <c r="O383" s="60"/>
      <c r="P383" s="61"/>
      <c r="Q383" s="60"/>
      <c r="R383" s="61"/>
      <c r="S383" s="60"/>
      <c r="T383" s="62"/>
      <c r="U383" s="224"/>
      <c r="V383" s="225"/>
    </row>
    <row r="384" spans="1:25" ht="16.2" thickBot="1" x14ac:dyDescent="0.35">
      <c r="A384" s="121"/>
      <c r="B384" s="122">
        <v>12</v>
      </c>
      <c r="C384" s="97"/>
      <c r="D384" s="98"/>
      <c r="E384" s="98"/>
      <c r="F384" s="98"/>
      <c r="G384" s="98"/>
      <c r="H384" s="98"/>
      <c r="I384" s="98"/>
      <c r="J384" s="99"/>
      <c r="K384" s="99"/>
      <c r="L384" s="99"/>
      <c r="M384" s="99"/>
      <c r="N384" s="100"/>
      <c r="O384" s="101"/>
      <c r="P384" s="102"/>
      <c r="Q384" s="101"/>
      <c r="R384" s="102"/>
      <c r="S384" s="101"/>
      <c r="T384" s="103"/>
      <c r="U384" s="231"/>
      <c r="V384" s="232"/>
    </row>
    <row r="386" spans="1:25" x14ac:dyDescent="0.25">
      <c r="A386" s="76" t="s">
        <v>556</v>
      </c>
    </row>
    <row r="387" spans="1:25" ht="15" x14ac:dyDescent="0.25">
      <c r="A387" s="111"/>
      <c r="B387" s="75"/>
      <c r="C387" s="75"/>
      <c r="D387" s="75"/>
      <c r="E387" s="75"/>
      <c r="F387" s="75"/>
      <c r="G387" s="75"/>
      <c r="H387" s="75"/>
      <c r="I387" s="75"/>
      <c r="J387" s="75"/>
      <c r="K387" s="75"/>
      <c r="L387" s="75"/>
      <c r="M387" s="75"/>
      <c r="N387" s="75"/>
      <c r="O387" s="76"/>
      <c r="P387" s="77"/>
      <c r="Q387" s="65"/>
      <c r="W387" s="76"/>
      <c r="X387" s="76"/>
      <c r="Y387" s="76"/>
    </row>
    <row r="388" spans="1:25" ht="15" x14ac:dyDescent="0.25">
      <c r="A388" s="78"/>
      <c r="B388" s="79"/>
      <c r="C388" s="75"/>
      <c r="D388" s="75"/>
      <c r="E388" s="75"/>
      <c r="F388" s="75"/>
      <c r="G388" s="75"/>
      <c r="H388" s="75"/>
      <c r="I388" s="75"/>
      <c r="J388" s="75"/>
      <c r="K388" s="75"/>
      <c r="L388" s="75"/>
      <c r="M388" s="75"/>
      <c r="N388" s="75"/>
      <c r="O388" s="76"/>
      <c r="P388" s="77"/>
      <c r="Q388" s="65"/>
    </row>
    <row r="389" spans="1:25" x14ac:dyDescent="0.25">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row>
    <row r="390" spans="1:25" ht="15" x14ac:dyDescent="0.25">
      <c r="A390" s="82"/>
      <c r="H390" s="82"/>
      <c r="I390" s="82"/>
      <c r="J390" s="82"/>
      <c r="K390" s="82"/>
      <c r="L390" s="82"/>
      <c r="M390" s="82"/>
      <c r="N390" s="82"/>
      <c r="O390" s="82"/>
      <c r="P390" s="94"/>
      <c r="Q390" s="54"/>
    </row>
    <row r="394" spans="1:25" ht="22.8" x14ac:dyDescent="0.4">
      <c r="A394" s="112" t="s">
        <v>627</v>
      </c>
    </row>
    <row r="395" spans="1:25" ht="13.8" thickBot="1" x14ac:dyDescent="0.3"/>
    <row r="396" spans="1:25" ht="100.2" customHeight="1" thickBot="1" x14ac:dyDescent="0.55000000000000004">
      <c r="A396" s="214" t="str">
        <f>CONCATENATE(AH17,"                ",AG17)</f>
        <v>SABEL                groot wapen</v>
      </c>
      <c r="B396" s="215"/>
      <c r="C396" s="216" t="str">
        <f>CONCATENATE(AE17,"                     ", AF17)</f>
        <v>LOPER                      gemengd elek./mech.</v>
      </c>
      <c r="D396" s="217"/>
      <c r="E396" s="218"/>
      <c r="F396" s="218"/>
      <c r="G396" s="218"/>
      <c r="H396" s="218"/>
      <c r="I396" s="218"/>
      <c r="J396" s="218"/>
      <c r="K396" s="219"/>
      <c r="L396" s="220">
        <f>AC17</f>
        <v>0</v>
      </c>
      <c r="M396" s="221"/>
      <c r="N396" s="42" t="s">
        <v>503</v>
      </c>
      <c r="O396" s="222" t="s">
        <v>504</v>
      </c>
      <c r="P396" s="223"/>
      <c r="Q396" s="222" t="s">
        <v>505</v>
      </c>
      <c r="R396" s="223"/>
      <c r="S396" s="222" t="s">
        <v>506</v>
      </c>
      <c r="T396" s="223"/>
      <c r="U396" s="234" t="s">
        <v>584</v>
      </c>
      <c r="V396" s="235"/>
      <c r="W396" s="130"/>
      <c r="X396" s="209" t="s">
        <v>628</v>
      </c>
      <c r="Y396" s="132"/>
    </row>
    <row r="397" spans="1:25" ht="16.2" thickBot="1" x14ac:dyDescent="0.35">
      <c r="A397" s="49" t="s">
        <v>508</v>
      </c>
      <c r="B397" s="113"/>
      <c r="C397" s="45">
        <v>1</v>
      </c>
      <c r="D397" s="46">
        <v>2</v>
      </c>
      <c r="E397" s="46">
        <v>3</v>
      </c>
      <c r="F397" s="46">
        <v>4</v>
      </c>
      <c r="G397" s="46">
        <v>5</v>
      </c>
      <c r="H397" s="46">
        <v>6</v>
      </c>
      <c r="I397" s="46">
        <v>7</v>
      </c>
      <c r="J397" s="46">
        <v>8</v>
      </c>
      <c r="K397" s="46">
        <v>9</v>
      </c>
      <c r="L397" s="47">
        <v>10</v>
      </c>
      <c r="M397" s="47">
        <v>11</v>
      </c>
      <c r="N397" s="48">
        <v>12</v>
      </c>
      <c r="O397" s="49" t="s">
        <v>509</v>
      </c>
      <c r="P397" s="50" t="s">
        <v>510</v>
      </c>
      <c r="Q397" s="51" t="s">
        <v>509</v>
      </c>
      <c r="R397" s="48" t="s">
        <v>510</v>
      </c>
      <c r="S397" s="51" t="s">
        <v>509</v>
      </c>
      <c r="T397" s="52" t="s">
        <v>510</v>
      </c>
      <c r="U397" s="236"/>
      <c r="V397" s="237"/>
      <c r="W397" s="131"/>
      <c r="X397" s="131"/>
      <c r="Y397" s="131"/>
    </row>
    <row r="398" spans="1:25" ht="15.6" x14ac:dyDescent="0.3">
      <c r="A398" s="119"/>
      <c r="B398" s="116">
        <v>1</v>
      </c>
      <c r="C398" s="56"/>
      <c r="D398" s="57"/>
      <c r="E398" s="57"/>
      <c r="F398" s="57"/>
      <c r="G398" s="57"/>
      <c r="H398" s="57"/>
      <c r="I398" s="57"/>
      <c r="J398" s="58"/>
      <c r="K398" s="58"/>
      <c r="L398" s="58"/>
      <c r="M398" s="58"/>
      <c r="N398" s="59"/>
      <c r="O398" s="60"/>
      <c r="P398" s="61"/>
      <c r="Q398" s="60"/>
      <c r="R398" s="61"/>
      <c r="S398" s="60"/>
      <c r="T398" s="62"/>
      <c r="U398" s="224"/>
      <c r="V398" s="225"/>
    </row>
    <row r="399" spans="1:25" ht="15.6" x14ac:dyDescent="0.3">
      <c r="A399" s="119"/>
      <c r="B399" s="117">
        <v>2</v>
      </c>
      <c r="C399" s="67"/>
      <c r="D399" s="68"/>
      <c r="E399" s="69"/>
      <c r="F399" s="69"/>
      <c r="G399" s="69"/>
      <c r="H399" s="69"/>
      <c r="I399" s="69"/>
      <c r="J399" s="70"/>
      <c r="K399" s="70"/>
      <c r="L399" s="70"/>
      <c r="M399" s="70"/>
      <c r="N399" s="59"/>
      <c r="O399" s="60"/>
      <c r="P399" s="61"/>
      <c r="Q399" s="60"/>
      <c r="R399" s="61"/>
      <c r="S399" s="60"/>
      <c r="T399" s="62"/>
      <c r="U399" s="224"/>
      <c r="V399" s="225"/>
    </row>
    <row r="400" spans="1:25" ht="15.6" x14ac:dyDescent="0.3">
      <c r="A400" s="119"/>
      <c r="B400" s="116">
        <v>3</v>
      </c>
      <c r="C400" s="67"/>
      <c r="D400" s="69"/>
      <c r="E400" s="68"/>
      <c r="F400" s="69"/>
      <c r="G400" s="69"/>
      <c r="H400" s="69"/>
      <c r="I400" s="69"/>
      <c r="J400" s="70"/>
      <c r="K400" s="70"/>
      <c r="L400" s="70"/>
      <c r="M400" s="70"/>
      <c r="N400" s="59"/>
      <c r="O400" s="60"/>
      <c r="P400" s="61"/>
      <c r="Q400" s="60"/>
      <c r="R400" s="61"/>
      <c r="S400" s="60"/>
      <c r="T400" s="62"/>
      <c r="U400" s="224"/>
      <c r="V400" s="225"/>
    </row>
    <row r="401" spans="1:25" ht="15.6" x14ac:dyDescent="0.3">
      <c r="A401" s="119"/>
      <c r="B401" s="117">
        <v>4</v>
      </c>
      <c r="C401" s="67"/>
      <c r="D401" s="69"/>
      <c r="E401" s="69"/>
      <c r="F401" s="68"/>
      <c r="G401" s="69"/>
      <c r="H401" s="69"/>
      <c r="I401" s="69"/>
      <c r="J401" s="70"/>
      <c r="K401" s="70"/>
      <c r="L401" s="70"/>
      <c r="M401" s="70"/>
      <c r="N401" s="59"/>
      <c r="O401" s="60"/>
      <c r="P401" s="61"/>
      <c r="Q401" s="60"/>
      <c r="R401" s="61"/>
      <c r="S401" s="60"/>
      <c r="T401" s="62"/>
      <c r="U401" s="224"/>
      <c r="V401" s="225"/>
    </row>
    <row r="402" spans="1:25" ht="15.6" x14ac:dyDescent="0.3">
      <c r="A402" s="119"/>
      <c r="B402" s="116">
        <v>5</v>
      </c>
      <c r="C402" s="67"/>
      <c r="D402" s="69"/>
      <c r="E402" s="69"/>
      <c r="F402" s="69"/>
      <c r="G402" s="68"/>
      <c r="H402" s="69"/>
      <c r="I402" s="69"/>
      <c r="J402" s="70"/>
      <c r="K402" s="70"/>
      <c r="L402" s="70"/>
      <c r="M402" s="70"/>
      <c r="N402" s="59"/>
      <c r="O402" s="60"/>
      <c r="P402" s="61"/>
      <c r="Q402" s="60"/>
      <c r="R402" s="61"/>
      <c r="S402" s="60"/>
      <c r="T402" s="62"/>
      <c r="U402" s="224"/>
      <c r="V402" s="225"/>
    </row>
    <row r="403" spans="1:25" ht="15.6" x14ac:dyDescent="0.3">
      <c r="A403" s="119"/>
      <c r="B403" s="117">
        <v>6</v>
      </c>
      <c r="C403" s="67"/>
      <c r="D403" s="69"/>
      <c r="E403" s="69"/>
      <c r="F403" s="69"/>
      <c r="G403" s="69"/>
      <c r="H403" s="68"/>
      <c r="I403" s="69"/>
      <c r="J403" s="70"/>
      <c r="K403" s="70"/>
      <c r="L403" s="70"/>
      <c r="M403" s="70"/>
      <c r="N403" s="59"/>
      <c r="O403" s="60"/>
      <c r="P403" s="61"/>
      <c r="Q403" s="60"/>
      <c r="R403" s="61"/>
      <c r="S403" s="60"/>
      <c r="T403" s="62"/>
      <c r="U403" s="224"/>
      <c r="V403" s="225"/>
    </row>
    <row r="404" spans="1:25" ht="15.6" x14ac:dyDescent="0.3">
      <c r="A404" s="119"/>
      <c r="B404" s="116">
        <v>7</v>
      </c>
      <c r="C404" s="67"/>
      <c r="D404" s="69"/>
      <c r="E404" s="69"/>
      <c r="F404" s="69"/>
      <c r="G404" s="69"/>
      <c r="H404" s="69"/>
      <c r="I404" s="68"/>
      <c r="J404" s="83"/>
      <c r="K404" s="83"/>
      <c r="L404" s="83"/>
      <c r="M404" s="83"/>
      <c r="N404" s="84"/>
      <c r="O404" s="60"/>
      <c r="P404" s="61"/>
      <c r="Q404" s="60"/>
      <c r="R404" s="61"/>
      <c r="S404" s="60"/>
      <c r="T404" s="62"/>
      <c r="U404" s="224"/>
      <c r="V404" s="225"/>
    </row>
    <row r="405" spans="1:25" ht="15.6" x14ac:dyDescent="0.3">
      <c r="A405" s="119"/>
      <c r="B405" s="117">
        <v>8</v>
      </c>
      <c r="C405" s="87"/>
      <c r="D405" s="88"/>
      <c r="E405" s="88"/>
      <c r="F405" s="88"/>
      <c r="G405" s="88"/>
      <c r="H405" s="88"/>
      <c r="I405" s="89"/>
      <c r="J405" s="90"/>
      <c r="K405" s="91"/>
      <c r="L405" s="91"/>
      <c r="M405" s="91"/>
      <c r="N405" s="84"/>
      <c r="O405" s="60"/>
      <c r="P405" s="61"/>
      <c r="Q405" s="60"/>
      <c r="R405" s="61"/>
      <c r="S405" s="60"/>
      <c r="T405" s="62"/>
      <c r="U405" s="224"/>
      <c r="V405" s="225"/>
    </row>
    <row r="406" spans="1:25" ht="15.6" x14ac:dyDescent="0.3">
      <c r="A406" s="119"/>
      <c r="B406" s="116">
        <v>9</v>
      </c>
      <c r="C406" s="87"/>
      <c r="D406" s="88"/>
      <c r="E406" s="88"/>
      <c r="F406" s="88"/>
      <c r="G406" s="88"/>
      <c r="H406" s="88"/>
      <c r="I406" s="89"/>
      <c r="J406" s="91"/>
      <c r="K406" s="90"/>
      <c r="L406" s="91"/>
      <c r="M406" s="91"/>
      <c r="N406" s="84"/>
      <c r="O406" s="60"/>
      <c r="P406" s="61"/>
      <c r="Q406" s="60"/>
      <c r="R406" s="61"/>
      <c r="S406" s="60"/>
      <c r="T406" s="62"/>
      <c r="U406" s="224"/>
      <c r="V406" s="225"/>
    </row>
    <row r="407" spans="1:25" ht="15.6" x14ac:dyDescent="0.3">
      <c r="A407" s="119"/>
      <c r="B407" s="117">
        <v>10</v>
      </c>
      <c r="C407" s="87"/>
      <c r="D407" s="88"/>
      <c r="E407" s="88"/>
      <c r="F407" s="88"/>
      <c r="G407" s="88"/>
      <c r="H407" s="88"/>
      <c r="I407" s="89"/>
      <c r="J407" s="91"/>
      <c r="K407" s="91"/>
      <c r="L407" s="90"/>
      <c r="M407" s="91"/>
      <c r="N407" s="84"/>
      <c r="O407" s="60"/>
      <c r="P407" s="61"/>
      <c r="Q407" s="60"/>
      <c r="R407" s="61"/>
      <c r="S407" s="60"/>
      <c r="T407" s="62"/>
      <c r="U407" s="224"/>
      <c r="V407" s="225"/>
    </row>
    <row r="408" spans="1:25" ht="15.6" x14ac:dyDescent="0.3">
      <c r="A408" s="119"/>
      <c r="B408" s="116">
        <v>11</v>
      </c>
      <c r="C408" s="87"/>
      <c r="D408" s="88"/>
      <c r="E408" s="88"/>
      <c r="F408" s="88"/>
      <c r="G408" s="88"/>
      <c r="H408" s="88"/>
      <c r="I408" s="89"/>
      <c r="J408" s="91"/>
      <c r="K408" s="91"/>
      <c r="L408" s="91"/>
      <c r="M408" s="90"/>
      <c r="N408" s="84"/>
      <c r="O408" s="60"/>
      <c r="P408" s="61"/>
      <c r="Q408" s="60"/>
      <c r="R408" s="61"/>
      <c r="S408" s="60"/>
      <c r="T408" s="62"/>
      <c r="U408" s="224"/>
      <c r="V408" s="225"/>
    </row>
    <row r="409" spans="1:25" ht="16.2" thickBot="1" x14ac:dyDescent="0.35">
      <c r="A409" s="121"/>
      <c r="B409" s="122">
        <v>12</v>
      </c>
      <c r="C409" s="97"/>
      <c r="D409" s="98"/>
      <c r="E409" s="98"/>
      <c r="F409" s="98"/>
      <c r="G409" s="98"/>
      <c r="H409" s="98"/>
      <c r="I409" s="98"/>
      <c r="J409" s="99"/>
      <c r="K409" s="99"/>
      <c r="L409" s="99"/>
      <c r="M409" s="99"/>
      <c r="N409" s="100"/>
      <c r="O409" s="101"/>
      <c r="P409" s="102"/>
      <c r="Q409" s="101"/>
      <c r="R409" s="102"/>
      <c r="S409" s="101"/>
      <c r="T409" s="103"/>
      <c r="U409" s="231"/>
      <c r="V409" s="232"/>
    </row>
    <row r="411" spans="1:25" x14ac:dyDescent="0.25">
      <c r="A411" s="76" t="s">
        <v>556</v>
      </c>
    </row>
    <row r="412" spans="1:25" x14ac:dyDescent="0.25">
      <c r="A412" s="111"/>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row>
    <row r="413" spans="1:25" x14ac:dyDescent="0.25">
      <c r="A413" s="76"/>
    </row>
    <row r="414" spans="1:25" x14ac:dyDescent="0.25">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row>
    <row r="415" spans="1:25" ht="15" x14ac:dyDescent="0.25">
      <c r="A415" s="82"/>
      <c r="H415" s="82"/>
      <c r="I415" s="82"/>
      <c r="J415" s="82"/>
      <c r="K415" s="82"/>
      <c r="L415" s="82"/>
      <c r="M415" s="82"/>
      <c r="N415" s="82"/>
      <c r="O415" s="82"/>
      <c r="P415" s="94"/>
      <c r="Q415" s="54"/>
    </row>
    <row r="419" spans="1:25" ht="22.8" x14ac:dyDescent="0.4">
      <c r="A419" s="112" t="s">
        <v>627</v>
      </c>
    </row>
    <row r="420" spans="1:25" ht="13.8" thickBot="1" x14ac:dyDescent="0.3"/>
    <row r="421" spans="1:25" ht="100.2" customHeight="1" thickBot="1" x14ac:dyDescent="0.55000000000000004">
      <c r="A421" s="214" t="str">
        <f>CONCATENATE(AH18,"                ",AG18)</f>
        <v>SABEL                groot wapen</v>
      </c>
      <c r="B421" s="215"/>
      <c r="C421" s="216" t="str">
        <f>CONCATENATE(AE18,"                     ", AF18)</f>
        <v>LOPER                      gemengd elek./mech.</v>
      </c>
      <c r="D421" s="217"/>
      <c r="E421" s="218"/>
      <c r="F421" s="218"/>
      <c r="G421" s="218"/>
      <c r="H421" s="218"/>
      <c r="I421" s="218"/>
      <c r="J421" s="218"/>
      <c r="K421" s="219"/>
      <c r="L421" s="220">
        <f>AC18</f>
        <v>0</v>
      </c>
      <c r="M421" s="221"/>
      <c r="N421" s="42" t="s">
        <v>503</v>
      </c>
      <c r="O421" s="222" t="s">
        <v>504</v>
      </c>
      <c r="P421" s="223"/>
      <c r="Q421" s="222" t="s">
        <v>505</v>
      </c>
      <c r="R421" s="223"/>
      <c r="S421" s="222" t="s">
        <v>506</v>
      </c>
      <c r="T421" s="223"/>
      <c r="U421" s="234" t="s">
        <v>584</v>
      </c>
      <c r="V421" s="235"/>
      <c r="W421" s="130"/>
      <c r="X421" s="209" t="s">
        <v>496</v>
      </c>
      <c r="Y421" s="132"/>
    </row>
    <row r="422" spans="1:25" ht="16.2" thickBot="1" x14ac:dyDescent="0.35">
      <c r="A422" s="49" t="s">
        <v>508</v>
      </c>
      <c r="B422" s="113"/>
      <c r="C422" s="45">
        <v>1</v>
      </c>
      <c r="D422" s="46">
        <v>2</v>
      </c>
      <c r="E422" s="46">
        <v>3</v>
      </c>
      <c r="F422" s="46">
        <v>4</v>
      </c>
      <c r="G422" s="46">
        <v>5</v>
      </c>
      <c r="H422" s="46">
        <v>6</v>
      </c>
      <c r="I422" s="46">
        <v>7</v>
      </c>
      <c r="J422" s="46">
        <v>8</v>
      </c>
      <c r="K422" s="46">
        <v>9</v>
      </c>
      <c r="L422" s="47">
        <v>10</v>
      </c>
      <c r="M422" s="47">
        <v>11</v>
      </c>
      <c r="N422" s="48">
        <v>12</v>
      </c>
      <c r="O422" s="49" t="s">
        <v>509</v>
      </c>
      <c r="P422" s="50" t="s">
        <v>510</v>
      </c>
      <c r="Q422" s="51" t="s">
        <v>509</v>
      </c>
      <c r="R422" s="48" t="s">
        <v>510</v>
      </c>
      <c r="S422" s="51" t="s">
        <v>509</v>
      </c>
      <c r="T422" s="52" t="s">
        <v>510</v>
      </c>
      <c r="U422" s="236"/>
      <c r="V422" s="237"/>
      <c r="W422" s="131"/>
      <c r="X422" s="131"/>
      <c r="Y422" s="131"/>
    </row>
    <row r="423" spans="1:25" ht="15.6" x14ac:dyDescent="0.3">
      <c r="A423" s="119"/>
      <c r="B423" s="116">
        <v>1</v>
      </c>
      <c r="C423" s="56"/>
      <c r="D423" s="57"/>
      <c r="E423" s="57"/>
      <c r="F423" s="57"/>
      <c r="G423" s="57"/>
      <c r="H423" s="57"/>
      <c r="I423" s="57"/>
      <c r="J423" s="58"/>
      <c r="K423" s="58"/>
      <c r="L423" s="58"/>
      <c r="M423" s="58"/>
      <c r="N423" s="59"/>
      <c r="O423" s="60"/>
      <c r="P423" s="61"/>
      <c r="Q423" s="60"/>
      <c r="R423" s="61"/>
      <c r="S423" s="60"/>
      <c r="T423" s="62"/>
      <c r="U423" s="224"/>
      <c r="V423" s="225"/>
    </row>
    <row r="424" spans="1:25" ht="15.6" x14ac:dyDescent="0.3">
      <c r="A424" s="119"/>
      <c r="B424" s="117">
        <v>2</v>
      </c>
      <c r="C424" s="67"/>
      <c r="D424" s="68"/>
      <c r="E424" s="69"/>
      <c r="F424" s="69"/>
      <c r="G424" s="69"/>
      <c r="H424" s="69"/>
      <c r="I424" s="69"/>
      <c r="J424" s="70"/>
      <c r="K424" s="70"/>
      <c r="L424" s="70"/>
      <c r="M424" s="70"/>
      <c r="N424" s="59"/>
      <c r="O424" s="60"/>
      <c r="P424" s="61"/>
      <c r="Q424" s="60"/>
      <c r="R424" s="61"/>
      <c r="S424" s="60"/>
      <c r="T424" s="62"/>
      <c r="U424" s="224"/>
      <c r="V424" s="225"/>
    </row>
    <row r="425" spans="1:25" ht="15.6" x14ac:dyDescent="0.3">
      <c r="A425" s="119"/>
      <c r="B425" s="116">
        <v>3</v>
      </c>
      <c r="C425" s="67"/>
      <c r="D425" s="69"/>
      <c r="E425" s="68"/>
      <c r="F425" s="69"/>
      <c r="G425" s="69"/>
      <c r="H425" s="69"/>
      <c r="I425" s="69"/>
      <c r="J425" s="70"/>
      <c r="K425" s="70"/>
      <c r="L425" s="70"/>
      <c r="M425" s="70"/>
      <c r="N425" s="59"/>
      <c r="O425" s="60"/>
      <c r="P425" s="61"/>
      <c r="Q425" s="60"/>
      <c r="R425" s="61"/>
      <c r="S425" s="60"/>
      <c r="T425" s="62"/>
      <c r="U425" s="224"/>
      <c r="V425" s="225"/>
    </row>
    <row r="426" spans="1:25" ht="15.6" x14ac:dyDescent="0.3">
      <c r="A426" s="119"/>
      <c r="B426" s="117">
        <v>4</v>
      </c>
      <c r="C426" s="67"/>
      <c r="D426" s="69"/>
      <c r="E426" s="69"/>
      <c r="F426" s="68"/>
      <c r="G426" s="69"/>
      <c r="H426" s="69"/>
      <c r="I426" s="69"/>
      <c r="J426" s="70"/>
      <c r="K426" s="70"/>
      <c r="L426" s="70"/>
      <c r="M426" s="70"/>
      <c r="N426" s="59"/>
      <c r="O426" s="60"/>
      <c r="P426" s="61"/>
      <c r="Q426" s="60"/>
      <c r="R426" s="61"/>
      <c r="S426" s="60"/>
      <c r="T426" s="62"/>
      <c r="U426" s="224"/>
      <c r="V426" s="225"/>
    </row>
    <row r="427" spans="1:25" ht="15.6" x14ac:dyDescent="0.3">
      <c r="A427" s="119"/>
      <c r="B427" s="116">
        <v>5</v>
      </c>
      <c r="C427" s="67"/>
      <c r="D427" s="69"/>
      <c r="E427" s="69"/>
      <c r="F427" s="69"/>
      <c r="G427" s="68"/>
      <c r="H427" s="69"/>
      <c r="I427" s="69"/>
      <c r="J427" s="70"/>
      <c r="K427" s="70"/>
      <c r="L427" s="70"/>
      <c r="M427" s="70"/>
      <c r="N427" s="59"/>
      <c r="O427" s="60"/>
      <c r="P427" s="61"/>
      <c r="Q427" s="60"/>
      <c r="R427" s="61"/>
      <c r="S427" s="60"/>
      <c r="T427" s="62"/>
      <c r="U427" s="224"/>
      <c r="V427" s="225"/>
    </row>
    <row r="428" spans="1:25" ht="15.6" x14ac:dyDescent="0.3">
      <c r="A428" s="119"/>
      <c r="B428" s="117">
        <v>6</v>
      </c>
      <c r="C428" s="67"/>
      <c r="D428" s="69"/>
      <c r="E428" s="69"/>
      <c r="F428" s="69"/>
      <c r="G428" s="69"/>
      <c r="H428" s="68"/>
      <c r="I428" s="69"/>
      <c r="J428" s="70"/>
      <c r="K428" s="70"/>
      <c r="L428" s="70"/>
      <c r="M428" s="70"/>
      <c r="N428" s="59"/>
      <c r="O428" s="60"/>
      <c r="P428" s="61"/>
      <c r="Q428" s="60"/>
      <c r="R428" s="61"/>
      <c r="S428" s="60"/>
      <c r="T428" s="62"/>
      <c r="U428" s="224"/>
      <c r="V428" s="225"/>
    </row>
    <row r="429" spans="1:25" ht="15.6" x14ac:dyDescent="0.3">
      <c r="A429" s="119"/>
      <c r="B429" s="116">
        <v>7</v>
      </c>
      <c r="C429" s="67"/>
      <c r="D429" s="69"/>
      <c r="E429" s="69"/>
      <c r="F429" s="69"/>
      <c r="G429" s="69"/>
      <c r="H429" s="69"/>
      <c r="I429" s="68"/>
      <c r="J429" s="83"/>
      <c r="K429" s="83"/>
      <c r="L429" s="83"/>
      <c r="M429" s="83"/>
      <c r="N429" s="84"/>
      <c r="O429" s="60"/>
      <c r="P429" s="61"/>
      <c r="Q429" s="60"/>
      <c r="R429" s="61"/>
      <c r="S429" s="60"/>
      <c r="T429" s="62"/>
      <c r="U429" s="224"/>
      <c r="V429" s="225"/>
    </row>
    <row r="430" spans="1:25" ht="15.6" x14ac:dyDescent="0.3">
      <c r="A430" s="119"/>
      <c r="B430" s="117">
        <v>8</v>
      </c>
      <c r="C430" s="87"/>
      <c r="D430" s="88"/>
      <c r="E430" s="88"/>
      <c r="F430" s="88"/>
      <c r="G430" s="88"/>
      <c r="H430" s="88"/>
      <c r="I430" s="89"/>
      <c r="J430" s="90"/>
      <c r="K430" s="91"/>
      <c r="L430" s="91"/>
      <c r="M430" s="91"/>
      <c r="N430" s="84"/>
      <c r="O430" s="60"/>
      <c r="P430" s="61"/>
      <c r="Q430" s="60"/>
      <c r="R430" s="61"/>
      <c r="S430" s="60"/>
      <c r="T430" s="62"/>
      <c r="U430" s="224"/>
      <c r="V430" s="225"/>
    </row>
    <row r="431" spans="1:25" ht="15.6" x14ac:dyDescent="0.3">
      <c r="A431" s="119"/>
      <c r="B431" s="116">
        <v>9</v>
      </c>
      <c r="C431" s="87"/>
      <c r="D431" s="88"/>
      <c r="E431" s="88"/>
      <c r="F431" s="88"/>
      <c r="G431" s="88"/>
      <c r="H431" s="88"/>
      <c r="I431" s="89"/>
      <c r="J431" s="91"/>
      <c r="K431" s="90"/>
      <c r="L431" s="91"/>
      <c r="M431" s="91"/>
      <c r="N431" s="84"/>
      <c r="O431" s="60"/>
      <c r="P431" s="61"/>
      <c r="Q431" s="60"/>
      <c r="R431" s="61"/>
      <c r="S431" s="60"/>
      <c r="T431" s="62"/>
      <c r="U431" s="224"/>
      <c r="V431" s="225"/>
    </row>
    <row r="432" spans="1:25" ht="15.6" x14ac:dyDescent="0.3">
      <c r="A432" s="119"/>
      <c r="B432" s="117">
        <v>10</v>
      </c>
      <c r="C432" s="87"/>
      <c r="D432" s="88"/>
      <c r="E432" s="88"/>
      <c r="F432" s="88"/>
      <c r="G432" s="88"/>
      <c r="H432" s="88"/>
      <c r="I432" s="89"/>
      <c r="J432" s="91"/>
      <c r="K432" s="91"/>
      <c r="L432" s="90"/>
      <c r="M432" s="91"/>
      <c r="N432" s="84"/>
      <c r="O432" s="60"/>
      <c r="P432" s="61"/>
      <c r="Q432" s="60"/>
      <c r="R432" s="61"/>
      <c r="S432" s="60"/>
      <c r="T432" s="62"/>
      <c r="U432" s="224"/>
      <c r="V432" s="225"/>
    </row>
    <row r="433" spans="1:25" ht="15.6" x14ac:dyDescent="0.3">
      <c r="A433" s="119"/>
      <c r="B433" s="116">
        <v>11</v>
      </c>
      <c r="C433" s="87"/>
      <c r="D433" s="88"/>
      <c r="E433" s="88"/>
      <c r="F433" s="88"/>
      <c r="G433" s="88"/>
      <c r="H433" s="88"/>
      <c r="I433" s="89"/>
      <c r="J433" s="91"/>
      <c r="K433" s="91"/>
      <c r="L433" s="91"/>
      <c r="M433" s="90"/>
      <c r="N433" s="84"/>
      <c r="O433" s="60"/>
      <c r="P433" s="61"/>
      <c r="Q433" s="60"/>
      <c r="R433" s="61"/>
      <c r="S433" s="60"/>
      <c r="T433" s="62"/>
      <c r="U433" s="224"/>
      <c r="V433" s="225"/>
    </row>
    <row r="434" spans="1:25" ht="16.2" thickBot="1" x14ac:dyDescent="0.35">
      <c r="A434" s="121"/>
      <c r="B434" s="122">
        <v>12</v>
      </c>
      <c r="C434" s="97"/>
      <c r="D434" s="98"/>
      <c r="E434" s="98"/>
      <c r="F434" s="98"/>
      <c r="G434" s="98"/>
      <c r="H434" s="98"/>
      <c r="I434" s="98"/>
      <c r="J434" s="99"/>
      <c r="K434" s="99"/>
      <c r="L434" s="99"/>
      <c r="M434" s="99"/>
      <c r="N434" s="100"/>
      <c r="O434" s="101"/>
      <c r="P434" s="102"/>
      <c r="Q434" s="101"/>
      <c r="R434" s="102"/>
      <c r="S434" s="101"/>
      <c r="T434" s="103"/>
      <c r="U434" s="231"/>
      <c r="V434" s="232"/>
    </row>
    <row r="436" spans="1:25" x14ac:dyDescent="0.25">
      <c r="A436" s="76" t="s">
        <v>556</v>
      </c>
    </row>
    <row r="437" spans="1:25" ht="15" x14ac:dyDescent="0.25">
      <c r="A437" s="111"/>
      <c r="B437" s="75"/>
      <c r="C437" s="75"/>
      <c r="D437" s="75"/>
      <c r="E437" s="75"/>
      <c r="F437" s="75"/>
      <c r="G437" s="75"/>
      <c r="H437" s="75"/>
      <c r="I437" s="75"/>
      <c r="J437" s="75"/>
      <c r="K437" s="75"/>
      <c r="L437" s="75"/>
      <c r="M437" s="75"/>
      <c r="N437" s="75"/>
      <c r="O437" s="76"/>
      <c r="P437" s="77"/>
      <c r="Q437" s="65"/>
      <c r="W437" s="76"/>
      <c r="X437" s="76"/>
      <c r="Y437" s="76"/>
    </row>
    <row r="438" spans="1:25" ht="15" x14ac:dyDescent="0.25">
      <c r="A438" s="78"/>
      <c r="B438" s="79"/>
      <c r="C438" s="75"/>
      <c r="D438" s="75"/>
      <c r="E438" s="75"/>
      <c r="F438" s="75"/>
      <c r="G438" s="75"/>
      <c r="H438" s="75"/>
      <c r="I438" s="75"/>
      <c r="J438" s="75"/>
      <c r="K438" s="75"/>
      <c r="L438" s="75"/>
      <c r="M438" s="75"/>
      <c r="N438" s="75"/>
      <c r="O438" s="76"/>
      <c r="P438" s="77"/>
      <c r="Q438" s="65"/>
    </row>
    <row r="439" spans="1:25" x14ac:dyDescent="0.25">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row>
    <row r="440" spans="1:25" ht="15" x14ac:dyDescent="0.25">
      <c r="A440" s="82"/>
      <c r="H440" s="82"/>
      <c r="I440" s="82"/>
      <c r="J440" s="82"/>
      <c r="K440" s="82"/>
      <c r="L440" s="82"/>
      <c r="M440" s="82"/>
      <c r="N440" s="82"/>
      <c r="O440" s="82"/>
      <c r="P440" s="94"/>
      <c r="Q440" s="54"/>
    </row>
    <row r="444" spans="1:25" ht="22.8" x14ac:dyDescent="0.4">
      <c r="A444" s="112" t="s">
        <v>627</v>
      </c>
    </row>
    <row r="445" spans="1:25" ht="13.8" thickBot="1" x14ac:dyDescent="0.3"/>
    <row r="446" spans="1:25" ht="100.2" customHeight="1" thickBot="1" x14ac:dyDescent="0.55000000000000004">
      <c r="A446" s="214" t="str">
        <f>CONCATENATE(AH19,"                ",AG19)</f>
        <v>SABEL                groot wapen</v>
      </c>
      <c r="B446" s="215"/>
      <c r="C446" s="216" t="str">
        <f>CONCATENATE(AE19,"                     ", AF19)</f>
        <v>LOPER                      gemengd elek./mech.</v>
      </c>
      <c r="D446" s="217"/>
      <c r="E446" s="218"/>
      <c r="F446" s="218"/>
      <c r="G446" s="218"/>
      <c r="H446" s="218"/>
      <c r="I446" s="218"/>
      <c r="J446" s="218"/>
      <c r="K446" s="219"/>
      <c r="L446" s="220">
        <f>AC10</f>
        <v>0</v>
      </c>
      <c r="M446" s="221"/>
      <c r="N446" s="42" t="s">
        <v>503</v>
      </c>
      <c r="O446" s="222" t="s">
        <v>504</v>
      </c>
      <c r="P446" s="223"/>
      <c r="Q446" s="222" t="s">
        <v>505</v>
      </c>
      <c r="R446" s="223"/>
      <c r="S446" s="222" t="s">
        <v>506</v>
      </c>
      <c r="T446" s="223"/>
      <c r="U446" s="234" t="s">
        <v>584</v>
      </c>
      <c r="V446" s="235"/>
      <c r="W446" s="130"/>
      <c r="X446" s="209" t="s">
        <v>500</v>
      </c>
      <c r="Y446" s="132"/>
    </row>
    <row r="447" spans="1:25" ht="16.2" thickBot="1" x14ac:dyDescent="0.35">
      <c r="A447" s="49" t="s">
        <v>508</v>
      </c>
      <c r="B447" s="113"/>
      <c r="C447" s="45">
        <v>1</v>
      </c>
      <c r="D447" s="46">
        <v>2</v>
      </c>
      <c r="E447" s="46">
        <v>3</v>
      </c>
      <c r="F447" s="46">
        <v>4</v>
      </c>
      <c r="G447" s="46">
        <v>5</v>
      </c>
      <c r="H447" s="46">
        <v>6</v>
      </c>
      <c r="I447" s="46">
        <v>7</v>
      </c>
      <c r="J447" s="46">
        <v>8</v>
      </c>
      <c r="K447" s="46">
        <v>9</v>
      </c>
      <c r="L447" s="47">
        <v>10</v>
      </c>
      <c r="M447" s="47">
        <v>11</v>
      </c>
      <c r="N447" s="48">
        <v>12</v>
      </c>
      <c r="O447" s="49" t="s">
        <v>509</v>
      </c>
      <c r="P447" s="50" t="s">
        <v>510</v>
      </c>
      <c r="Q447" s="51" t="s">
        <v>509</v>
      </c>
      <c r="R447" s="48" t="s">
        <v>510</v>
      </c>
      <c r="S447" s="51" t="s">
        <v>509</v>
      </c>
      <c r="T447" s="52" t="s">
        <v>510</v>
      </c>
      <c r="U447" s="236"/>
      <c r="V447" s="237"/>
      <c r="W447" s="131"/>
      <c r="X447" s="131"/>
      <c r="Y447" s="131"/>
    </row>
    <row r="448" spans="1:25" ht="15.6" x14ac:dyDescent="0.3">
      <c r="A448" s="119"/>
      <c r="B448" s="116">
        <v>1</v>
      </c>
      <c r="C448" s="56"/>
      <c r="D448" s="57"/>
      <c r="E448" s="57"/>
      <c r="F448" s="57"/>
      <c r="G448" s="57"/>
      <c r="H448" s="57"/>
      <c r="I448" s="57"/>
      <c r="J448" s="58"/>
      <c r="K448" s="58"/>
      <c r="L448" s="58"/>
      <c r="M448" s="58"/>
      <c r="N448" s="59"/>
      <c r="O448" s="60"/>
      <c r="P448" s="61"/>
      <c r="Q448" s="60"/>
      <c r="R448" s="61"/>
      <c r="S448" s="60"/>
      <c r="T448" s="62"/>
      <c r="U448" s="224"/>
      <c r="V448" s="225"/>
    </row>
    <row r="449" spans="1:25" ht="15.6" x14ac:dyDescent="0.3">
      <c r="A449" s="119"/>
      <c r="B449" s="117">
        <v>2</v>
      </c>
      <c r="C449" s="67"/>
      <c r="D449" s="68"/>
      <c r="E449" s="69"/>
      <c r="F449" s="69"/>
      <c r="G449" s="69"/>
      <c r="H449" s="69"/>
      <c r="I449" s="69"/>
      <c r="J449" s="70"/>
      <c r="K449" s="70"/>
      <c r="L449" s="70"/>
      <c r="M449" s="70"/>
      <c r="N449" s="59"/>
      <c r="O449" s="60"/>
      <c r="P449" s="61"/>
      <c r="Q449" s="60"/>
      <c r="R449" s="61"/>
      <c r="S449" s="60"/>
      <c r="T449" s="62"/>
      <c r="U449" s="224"/>
      <c r="V449" s="225"/>
    </row>
    <row r="450" spans="1:25" ht="15.6" x14ac:dyDescent="0.3">
      <c r="A450" s="119"/>
      <c r="B450" s="116">
        <v>3</v>
      </c>
      <c r="C450" s="67"/>
      <c r="D450" s="69"/>
      <c r="E450" s="68"/>
      <c r="F450" s="69"/>
      <c r="G450" s="69"/>
      <c r="H450" s="69"/>
      <c r="I450" s="69"/>
      <c r="J450" s="70"/>
      <c r="K450" s="70"/>
      <c r="L450" s="70"/>
      <c r="M450" s="70"/>
      <c r="N450" s="59"/>
      <c r="O450" s="60"/>
      <c r="P450" s="61"/>
      <c r="Q450" s="60"/>
      <c r="R450" s="61"/>
      <c r="S450" s="60"/>
      <c r="T450" s="62"/>
      <c r="U450" s="224"/>
      <c r="V450" s="225"/>
    </row>
    <row r="451" spans="1:25" ht="15.6" x14ac:dyDescent="0.3">
      <c r="A451" s="119"/>
      <c r="B451" s="117">
        <v>4</v>
      </c>
      <c r="C451" s="67"/>
      <c r="D451" s="69"/>
      <c r="E451" s="69"/>
      <c r="F451" s="68"/>
      <c r="G451" s="69"/>
      <c r="H451" s="69"/>
      <c r="I451" s="69"/>
      <c r="J451" s="70"/>
      <c r="K451" s="70"/>
      <c r="L451" s="70"/>
      <c r="M451" s="70"/>
      <c r="N451" s="59"/>
      <c r="O451" s="60"/>
      <c r="P451" s="61"/>
      <c r="Q451" s="60"/>
      <c r="R451" s="61"/>
      <c r="S451" s="60"/>
      <c r="T451" s="62"/>
      <c r="U451" s="224"/>
      <c r="V451" s="225"/>
    </row>
    <row r="452" spans="1:25" ht="15.6" x14ac:dyDescent="0.3">
      <c r="A452" s="119"/>
      <c r="B452" s="116">
        <v>5</v>
      </c>
      <c r="C452" s="67"/>
      <c r="D452" s="69"/>
      <c r="E452" s="69"/>
      <c r="F452" s="69"/>
      <c r="G452" s="68"/>
      <c r="H452" s="69"/>
      <c r="I452" s="69"/>
      <c r="J452" s="70"/>
      <c r="K452" s="70"/>
      <c r="L452" s="70"/>
      <c r="M452" s="70"/>
      <c r="N452" s="59"/>
      <c r="O452" s="60"/>
      <c r="P452" s="61"/>
      <c r="Q452" s="60"/>
      <c r="R452" s="61"/>
      <c r="S452" s="60"/>
      <c r="T452" s="62"/>
      <c r="U452" s="224"/>
      <c r="V452" s="225"/>
    </row>
    <row r="453" spans="1:25" ht="15.6" x14ac:dyDescent="0.3">
      <c r="A453" s="119"/>
      <c r="B453" s="117">
        <v>6</v>
      </c>
      <c r="C453" s="67"/>
      <c r="D453" s="69"/>
      <c r="E453" s="69"/>
      <c r="F453" s="69"/>
      <c r="G453" s="69"/>
      <c r="H453" s="68"/>
      <c r="I453" s="69"/>
      <c r="J453" s="70"/>
      <c r="K453" s="70"/>
      <c r="L453" s="70"/>
      <c r="M453" s="70"/>
      <c r="N453" s="59"/>
      <c r="O453" s="60"/>
      <c r="P453" s="61"/>
      <c r="Q453" s="60"/>
      <c r="R453" s="61"/>
      <c r="S453" s="60"/>
      <c r="T453" s="62"/>
      <c r="U453" s="224"/>
      <c r="V453" s="225"/>
    </row>
    <row r="454" spans="1:25" ht="15.6" x14ac:dyDescent="0.3">
      <c r="A454" s="119"/>
      <c r="B454" s="116">
        <v>7</v>
      </c>
      <c r="C454" s="67"/>
      <c r="D454" s="69"/>
      <c r="E454" s="69"/>
      <c r="F454" s="69" t="s">
        <v>629</v>
      </c>
      <c r="G454" s="69"/>
      <c r="H454" s="69"/>
      <c r="I454" s="68"/>
      <c r="J454" s="83"/>
      <c r="K454" s="83"/>
      <c r="L454" s="83"/>
      <c r="M454" s="83"/>
      <c r="N454" s="84"/>
      <c r="O454" s="60"/>
      <c r="P454" s="61"/>
      <c r="Q454" s="60"/>
      <c r="R454" s="61"/>
      <c r="S454" s="60"/>
      <c r="T454" s="62"/>
      <c r="U454" s="224"/>
      <c r="V454" s="225"/>
    </row>
    <row r="455" spans="1:25" ht="15.6" x14ac:dyDescent="0.3">
      <c r="A455" s="119"/>
      <c r="B455" s="117">
        <v>8</v>
      </c>
      <c r="C455" s="87"/>
      <c r="D455" s="88"/>
      <c r="E455" s="88"/>
      <c r="F455" s="88"/>
      <c r="G455" s="88"/>
      <c r="H455" s="88"/>
      <c r="I455" s="89"/>
      <c r="J455" s="90"/>
      <c r="K455" s="91"/>
      <c r="L455" s="91"/>
      <c r="M455" s="91"/>
      <c r="N455" s="84"/>
      <c r="O455" s="60"/>
      <c r="P455" s="61"/>
      <c r="Q455" s="60"/>
      <c r="R455" s="61"/>
      <c r="S455" s="60"/>
      <c r="T455" s="62"/>
      <c r="U455" s="224"/>
      <c r="V455" s="225"/>
    </row>
    <row r="456" spans="1:25" ht="15.6" x14ac:dyDescent="0.3">
      <c r="A456" s="119"/>
      <c r="B456" s="116">
        <v>9</v>
      </c>
      <c r="C456" s="87"/>
      <c r="D456" s="88"/>
      <c r="E456" s="88"/>
      <c r="F456" s="88"/>
      <c r="G456" s="88"/>
      <c r="H456" s="88"/>
      <c r="I456" s="89"/>
      <c r="J456" s="91"/>
      <c r="K456" s="90"/>
      <c r="L456" s="91"/>
      <c r="M456" s="91"/>
      <c r="N456" s="84"/>
      <c r="O456" s="60"/>
      <c r="P456" s="61"/>
      <c r="Q456" s="60"/>
      <c r="R456" s="61"/>
      <c r="S456" s="60"/>
      <c r="T456" s="62"/>
      <c r="U456" s="224"/>
      <c r="V456" s="225"/>
    </row>
    <row r="457" spans="1:25" ht="15.6" x14ac:dyDescent="0.3">
      <c r="A457" s="119"/>
      <c r="B457" s="117">
        <v>10</v>
      </c>
      <c r="C457" s="87"/>
      <c r="D457" s="88"/>
      <c r="E457" s="88"/>
      <c r="F457" s="88"/>
      <c r="G457" s="88"/>
      <c r="H457" s="88"/>
      <c r="I457" s="89"/>
      <c r="J457" s="91"/>
      <c r="K457" s="91"/>
      <c r="L457" s="90"/>
      <c r="M457" s="91"/>
      <c r="N457" s="84"/>
      <c r="O457" s="60"/>
      <c r="P457" s="61"/>
      <c r="Q457" s="60"/>
      <c r="R457" s="61"/>
      <c r="S457" s="60"/>
      <c r="T457" s="62"/>
      <c r="U457" s="224"/>
      <c r="V457" s="225"/>
    </row>
    <row r="458" spans="1:25" ht="15.6" x14ac:dyDescent="0.3">
      <c r="A458" s="119"/>
      <c r="B458" s="116">
        <v>11</v>
      </c>
      <c r="C458" s="87"/>
      <c r="D458" s="88"/>
      <c r="E458" s="88"/>
      <c r="F458" s="88"/>
      <c r="G458" s="88"/>
      <c r="H458" s="88"/>
      <c r="I458" s="89"/>
      <c r="J458" s="91"/>
      <c r="K458" s="91"/>
      <c r="L458" s="91"/>
      <c r="M458" s="90"/>
      <c r="N458" s="84"/>
      <c r="O458" s="60"/>
      <c r="P458" s="61"/>
      <c r="Q458" s="60"/>
      <c r="R458" s="61"/>
      <c r="S458" s="60"/>
      <c r="T458" s="62"/>
      <c r="U458" s="224"/>
      <c r="V458" s="225"/>
    </row>
    <row r="459" spans="1:25" ht="16.2" thickBot="1" x14ac:dyDescent="0.35">
      <c r="A459" s="121"/>
      <c r="B459" s="122">
        <v>12</v>
      </c>
      <c r="C459" s="97"/>
      <c r="D459" s="98"/>
      <c r="E459" s="98"/>
      <c r="F459" s="98"/>
      <c r="G459" s="98"/>
      <c r="H459" s="98"/>
      <c r="I459" s="98"/>
      <c r="J459" s="99"/>
      <c r="K459" s="99"/>
      <c r="L459" s="99"/>
      <c r="M459" s="99"/>
      <c r="N459" s="100"/>
      <c r="O459" s="101"/>
      <c r="P459" s="102"/>
      <c r="Q459" s="101"/>
      <c r="R459" s="102"/>
      <c r="S459" s="101"/>
      <c r="T459" s="103"/>
      <c r="U459" s="231"/>
      <c r="V459" s="232"/>
    </row>
    <row r="461" spans="1:25" x14ac:dyDescent="0.25">
      <c r="A461" s="76" t="s">
        <v>556</v>
      </c>
    </row>
    <row r="462" spans="1:25" ht="15" x14ac:dyDescent="0.25">
      <c r="A462" s="111"/>
      <c r="B462" s="75"/>
      <c r="C462" s="75"/>
      <c r="D462" s="75"/>
      <c r="E462" s="75"/>
      <c r="F462" s="75"/>
      <c r="G462" s="75"/>
      <c r="H462" s="75"/>
      <c r="I462" s="75"/>
      <c r="J462" s="75"/>
      <c r="K462" s="75"/>
      <c r="L462" s="82"/>
      <c r="M462" s="76"/>
      <c r="N462" s="76"/>
      <c r="O462" s="76"/>
      <c r="P462" s="77"/>
      <c r="Q462" s="65"/>
      <c r="W462" s="76"/>
      <c r="X462" s="76"/>
      <c r="Y462" s="76"/>
    </row>
    <row r="463" spans="1:25" ht="15" x14ac:dyDescent="0.25">
      <c r="A463" s="76"/>
      <c r="B463" s="76"/>
      <c r="C463" s="75"/>
      <c r="D463" s="75"/>
      <c r="E463" s="75"/>
      <c r="F463" s="75"/>
      <c r="G463" s="75"/>
      <c r="H463" s="75"/>
      <c r="I463" s="75"/>
      <c r="J463" s="75"/>
      <c r="K463" s="75"/>
      <c r="L463" s="75"/>
      <c r="M463" s="76"/>
      <c r="N463" s="76"/>
      <c r="O463" s="76"/>
      <c r="P463" s="77"/>
      <c r="Q463" s="65"/>
    </row>
    <row r="464" spans="1:25" x14ac:dyDescent="0.25">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row>
    <row r="465" spans="1:22" x14ac:dyDescent="0.25">
      <c r="A465" s="82"/>
    </row>
    <row r="466" spans="1:22" x14ac:dyDescent="0.25">
      <c r="A466" s="82"/>
      <c r="B466" s="76"/>
      <c r="C466" s="76"/>
      <c r="D466" s="76"/>
      <c r="E466" s="76"/>
      <c r="F466" s="76"/>
      <c r="G466" s="76"/>
      <c r="H466" s="76"/>
      <c r="I466" s="76"/>
      <c r="J466" s="76"/>
      <c r="K466" s="76"/>
      <c r="L466" s="76"/>
      <c r="M466" s="76"/>
      <c r="N466" s="76"/>
      <c r="O466" s="76"/>
      <c r="P466" s="76"/>
      <c r="Q466" s="76"/>
      <c r="R466" s="76"/>
      <c r="S466" s="76"/>
      <c r="T466" s="76"/>
      <c r="U466" s="76"/>
      <c r="V466" s="76"/>
    </row>
    <row r="468" spans="1:22" x14ac:dyDescent="0.25">
      <c r="B468" s="76"/>
      <c r="C468" s="76"/>
      <c r="D468" s="76"/>
    </row>
    <row r="469" spans="1:22" ht="22.8" x14ac:dyDescent="0.4">
      <c r="A469" s="112" t="s">
        <v>627</v>
      </c>
    </row>
    <row r="482" spans="1:2" ht="28.2" x14ac:dyDescent="0.5">
      <c r="A482" s="136"/>
      <c r="B482" s="136"/>
    </row>
  </sheetData>
  <mergeCells count="347">
    <mergeCell ref="U457:V457"/>
    <mergeCell ref="U458:V458"/>
    <mergeCell ref="U459:V459"/>
    <mergeCell ref="U448:V448"/>
    <mergeCell ref="U449:V449"/>
    <mergeCell ref="U450:V450"/>
    <mergeCell ref="U451:V451"/>
    <mergeCell ref="U452:V452"/>
    <mergeCell ref="U453:V453"/>
    <mergeCell ref="U454:V454"/>
    <mergeCell ref="U455:V455"/>
    <mergeCell ref="U456:V456"/>
    <mergeCell ref="U432:V432"/>
    <mergeCell ref="U433:V433"/>
    <mergeCell ref="U434:V434"/>
    <mergeCell ref="A446:B446"/>
    <mergeCell ref="C446:K446"/>
    <mergeCell ref="L446:M446"/>
    <mergeCell ref="O446:P446"/>
    <mergeCell ref="Q446:R446"/>
    <mergeCell ref="S446:T446"/>
    <mergeCell ref="U446:V447"/>
    <mergeCell ref="U423:V423"/>
    <mergeCell ref="U424:V424"/>
    <mergeCell ref="U425:V425"/>
    <mergeCell ref="U426:V426"/>
    <mergeCell ref="U427:V427"/>
    <mergeCell ref="U428:V428"/>
    <mergeCell ref="U429:V429"/>
    <mergeCell ref="U430:V430"/>
    <mergeCell ref="U431:V431"/>
    <mergeCell ref="U407:V407"/>
    <mergeCell ref="U408:V408"/>
    <mergeCell ref="U409:V409"/>
    <mergeCell ref="A421:B421"/>
    <mergeCell ref="C421:K421"/>
    <mergeCell ref="L421:M421"/>
    <mergeCell ref="O421:P421"/>
    <mergeCell ref="Q421:R421"/>
    <mergeCell ref="S421:T421"/>
    <mergeCell ref="U421:V422"/>
    <mergeCell ref="U398:V398"/>
    <mergeCell ref="U399:V399"/>
    <mergeCell ref="U400:V400"/>
    <mergeCell ref="U401:V401"/>
    <mergeCell ref="U402:V402"/>
    <mergeCell ref="U403:V403"/>
    <mergeCell ref="U404:V404"/>
    <mergeCell ref="U405:V405"/>
    <mergeCell ref="U406:V406"/>
    <mergeCell ref="U382:V382"/>
    <mergeCell ref="U383:V383"/>
    <mergeCell ref="U384:V384"/>
    <mergeCell ref="A396:B396"/>
    <mergeCell ref="C396:K396"/>
    <mergeCell ref="L396:M396"/>
    <mergeCell ref="O396:P396"/>
    <mergeCell ref="Q396:R396"/>
    <mergeCell ref="S396:T396"/>
    <mergeCell ref="U396:V397"/>
    <mergeCell ref="U373:V373"/>
    <mergeCell ref="U374:V374"/>
    <mergeCell ref="U375:V375"/>
    <mergeCell ref="U376:V376"/>
    <mergeCell ref="U377:V377"/>
    <mergeCell ref="U378:V378"/>
    <mergeCell ref="U379:V379"/>
    <mergeCell ref="U380:V380"/>
    <mergeCell ref="U381:V381"/>
    <mergeCell ref="U357:V357"/>
    <mergeCell ref="U358:V358"/>
    <mergeCell ref="U359:V359"/>
    <mergeCell ref="A371:B371"/>
    <mergeCell ref="C371:K371"/>
    <mergeCell ref="L371:M371"/>
    <mergeCell ref="O371:P371"/>
    <mergeCell ref="Q371:R371"/>
    <mergeCell ref="S371:T371"/>
    <mergeCell ref="U371:V372"/>
    <mergeCell ref="U348:V348"/>
    <mergeCell ref="U349:V349"/>
    <mergeCell ref="U350:V350"/>
    <mergeCell ref="U351:V351"/>
    <mergeCell ref="U352:V352"/>
    <mergeCell ref="U353:V353"/>
    <mergeCell ref="U354:V354"/>
    <mergeCell ref="U355:V355"/>
    <mergeCell ref="U356:V356"/>
    <mergeCell ref="U332:V332"/>
    <mergeCell ref="U333:V333"/>
    <mergeCell ref="U334:V334"/>
    <mergeCell ref="A346:B346"/>
    <mergeCell ref="C346:K346"/>
    <mergeCell ref="L346:M346"/>
    <mergeCell ref="O346:P346"/>
    <mergeCell ref="Q346:R346"/>
    <mergeCell ref="S346:T346"/>
    <mergeCell ref="U346:V347"/>
    <mergeCell ref="U323:V323"/>
    <mergeCell ref="U324:V324"/>
    <mergeCell ref="U325:V325"/>
    <mergeCell ref="U326:V326"/>
    <mergeCell ref="U327:V327"/>
    <mergeCell ref="U328:V328"/>
    <mergeCell ref="U329:V329"/>
    <mergeCell ref="U330:V330"/>
    <mergeCell ref="U331:V331"/>
    <mergeCell ref="U307:V307"/>
    <mergeCell ref="U308:V308"/>
    <mergeCell ref="U309:V309"/>
    <mergeCell ref="A321:B321"/>
    <mergeCell ref="C321:K321"/>
    <mergeCell ref="L321:M321"/>
    <mergeCell ref="O321:P321"/>
    <mergeCell ref="Q321:R321"/>
    <mergeCell ref="S321:T321"/>
    <mergeCell ref="U321:V322"/>
    <mergeCell ref="U298:V298"/>
    <mergeCell ref="U299:V299"/>
    <mergeCell ref="U300:V300"/>
    <mergeCell ref="U301:V301"/>
    <mergeCell ref="U302:V302"/>
    <mergeCell ref="U303:V303"/>
    <mergeCell ref="U304:V304"/>
    <mergeCell ref="U305:V305"/>
    <mergeCell ref="U306:V306"/>
    <mergeCell ref="U282:V282"/>
    <mergeCell ref="U283:V283"/>
    <mergeCell ref="U284:V284"/>
    <mergeCell ref="A296:B296"/>
    <mergeCell ref="C296:K296"/>
    <mergeCell ref="L296:M296"/>
    <mergeCell ref="O296:P296"/>
    <mergeCell ref="Q296:R296"/>
    <mergeCell ref="S296:T296"/>
    <mergeCell ref="U296:V297"/>
    <mergeCell ref="U273:V273"/>
    <mergeCell ref="U274:V274"/>
    <mergeCell ref="U275:V275"/>
    <mergeCell ref="U276:V276"/>
    <mergeCell ref="U277:V277"/>
    <mergeCell ref="U278:V278"/>
    <mergeCell ref="U279:V279"/>
    <mergeCell ref="U280:V280"/>
    <mergeCell ref="U281:V281"/>
    <mergeCell ref="U258:V258"/>
    <mergeCell ref="U259:V259"/>
    <mergeCell ref="A271:B271"/>
    <mergeCell ref="C271:K271"/>
    <mergeCell ref="L271:M271"/>
    <mergeCell ref="O271:P271"/>
    <mergeCell ref="Q271:R271"/>
    <mergeCell ref="S271:T271"/>
    <mergeCell ref="U271:V272"/>
    <mergeCell ref="U249:V249"/>
    <mergeCell ref="U250:V250"/>
    <mergeCell ref="U251:V251"/>
    <mergeCell ref="U252:V252"/>
    <mergeCell ref="U253:V253"/>
    <mergeCell ref="U254:V254"/>
    <mergeCell ref="U255:V255"/>
    <mergeCell ref="U256:V256"/>
    <mergeCell ref="U257:V257"/>
    <mergeCell ref="U234:V234"/>
    <mergeCell ref="A246:B246"/>
    <mergeCell ref="C246:K246"/>
    <mergeCell ref="L246:M246"/>
    <mergeCell ref="O246:P246"/>
    <mergeCell ref="Q246:R246"/>
    <mergeCell ref="S246:T246"/>
    <mergeCell ref="U246:V247"/>
    <mergeCell ref="U248:V248"/>
    <mergeCell ref="U225:V225"/>
    <mergeCell ref="U226:V226"/>
    <mergeCell ref="U227:V227"/>
    <mergeCell ref="U228:V228"/>
    <mergeCell ref="U229:V229"/>
    <mergeCell ref="U230:V230"/>
    <mergeCell ref="U231:V231"/>
    <mergeCell ref="U232:V232"/>
    <mergeCell ref="U233:V233"/>
    <mergeCell ref="A221:B221"/>
    <mergeCell ref="C221:K221"/>
    <mergeCell ref="L221:M221"/>
    <mergeCell ref="O221:P221"/>
    <mergeCell ref="Q221:R221"/>
    <mergeCell ref="S221:T221"/>
    <mergeCell ref="U221:V222"/>
    <mergeCell ref="U223:V223"/>
    <mergeCell ref="U224:V22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U153:V153"/>
    <mergeCell ref="U154:V154"/>
    <mergeCell ref="U155:V155"/>
    <mergeCell ref="U156:V156"/>
    <mergeCell ref="U157:V157"/>
    <mergeCell ref="U158:V158"/>
    <mergeCell ref="U146:V147"/>
    <mergeCell ref="U148:V148"/>
    <mergeCell ref="U149:V149"/>
    <mergeCell ref="U150:V150"/>
    <mergeCell ref="U151:V151"/>
    <mergeCell ref="U152:V15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U103:V103"/>
    <mergeCell ref="U104:V104"/>
    <mergeCell ref="U105:V105"/>
    <mergeCell ref="U106:V106"/>
    <mergeCell ref="U107:V107"/>
    <mergeCell ref="U108:V108"/>
    <mergeCell ref="Z97:AP97"/>
    <mergeCell ref="U98:V98"/>
    <mergeCell ref="U99:V99"/>
    <mergeCell ref="U100:V100"/>
    <mergeCell ref="U101:V101"/>
    <mergeCell ref="U102:V102"/>
    <mergeCell ref="U83:V83"/>
    <mergeCell ref="U84:V84"/>
    <mergeCell ref="A94:F94"/>
    <mergeCell ref="A96:B96"/>
    <mergeCell ref="C96:K96"/>
    <mergeCell ref="L96:M96"/>
    <mergeCell ref="O96:P96"/>
    <mergeCell ref="Q96:R96"/>
    <mergeCell ref="S96:T96"/>
    <mergeCell ref="U96:V97"/>
    <mergeCell ref="U77:V77"/>
    <mergeCell ref="U78:V78"/>
    <mergeCell ref="U79:V79"/>
    <mergeCell ref="U80:V80"/>
    <mergeCell ref="U81:V81"/>
    <mergeCell ref="U82:V82"/>
    <mergeCell ref="S71:T71"/>
    <mergeCell ref="U71:V72"/>
    <mergeCell ref="U73:V73"/>
    <mergeCell ref="U74:V74"/>
    <mergeCell ref="U75:V75"/>
    <mergeCell ref="U76:V76"/>
    <mergeCell ref="A69:F69"/>
    <mergeCell ref="A71:B71"/>
    <mergeCell ref="C71:K71"/>
    <mergeCell ref="L71:M71"/>
    <mergeCell ref="O71:P71"/>
    <mergeCell ref="Q71:R71"/>
    <mergeCell ref="U55:V55"/>
    <mergeCell ref="U56:V56"/>
    <mergeCell ref="U57:V57"/>
    <mergeCell ref="U58:V58"/>
    <mergeCell ref="U59:V59"/>
    <mergeCell ref="U60:V60"/>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U31:V31"/>
    <mergeCell ref="U32:V32"/>
    <mergeCell ref="U33:V33"/>
    <mergeCell ref="U22:V23"/>
    <mergeCell ref="Z22:AP22"/>
    <mergeCell ref="U24:V24"/>
    <mergeCell ref="U25:V25"/>
    <mergeCell ref="U26:V26"/>
    <mergeCell ref="U27:V27"/>
    <mergeCell ref="A22:B22"/>
    <mergeCell ref="C22:K22"/>
    <mergeCell ref="L22:M22"/>
    <mergeCell ref="O22:P22"/>
    <mergeCell ref="Q22:R22"/>
    <mergeCell ref="S22:T22"/>
    <mergeCell ref="U28:V28"/>
    <mergeCell ref="U29:V29"/>
    <mergeCell ref="U30:V30"/>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estaten!A37" display="A&gt;&gt;" xr:uid="{89D8B99B-330E-42E0-B1EC-CD05364CB5F2}"/>
    <hyperlink ref="X22" location="Poulestaten!A1" display="A" xr:uid="{A6808936-569B-49CF-A702-1978E457FD8A}"/>
    <hyperlink ref="X47" location="Poulstaten!W1" display="Loper B" xr:uid="{0A4A4D54-E4EC-49B5-BDC1-7564C8F80899}"/>
    <hyperlink ref="X71" location="Poulestaten!A1" display="C" xr:uid="{E8BA203B-259C-48A5-957C-52BDB32416D2}"/>
    <hyperlink ref="X96" location="Poulestaten!A1" display="D" xr:uid="{422C2179-5FF2-4DFD-946A-AF03EBC8B9AE}"/>
    <hyperlink ref="X121" location="Poulestaten!A1" display="E" xr:uid="{8B6CE700-D784-4CC4-847C-0C24DB267E64}"/>
    <hyperlink ref="X146" location="Poulestaten!A1" display="F" xr:uid="{16377AC9-90EF-42DD-AEF9-79E8721F48AE}"/>
    <hyperlink ref="X171" location="Poulestaten!A1" display="G" xr:uid="{8C254AD6-8BCE-4413-ADD1-3C5A85C43268}"/>
    <hyperlink ref="X196" location="Poulestaten!A1" display="H" xr:uid="{73F190D4-B521-4F20-81B5-31D8798E9DBD}"/>
    <hyperlink ref="X3" location="Poulestaten!A62" display="B&gt;&gt;" xr:uid="{C51FD60B-4C26-4072-9C4B-83801ECB4056}"/>
    <hyperlink ref="X4" location="Poulestaten!A86" display="C&gt;&gt;" xr:uid="{2347FF31-D80F-43E2-8A17-7569774A3084}"/>
    <hyperlink ref="X5" location="Poulestaten!A111" display="D&gt;&gt;" xr:uid="{AC99E878-2895-4075-8E49-26D17AE84F09}"/>
    <hyperlink ref="X6" location="Poulestaten!A136" display="E&gt;&gt;" xr:uid="{564C4F2A-BB99-49B5-9B00-B2506F17D16B}"/>
    <hyperlink ref="X7" location="Poulestaten!A161" display="F&gt;&gt;" xr:uid="{37BD7C6A-006A-416F-88D3-B57CFB6B0C03}"/>
    <hyperlink ref="X8" location="Poulestaten!A186" display="G&gt;&gt;" xr:uid="{DE761CB4-3E5B-4D52-A2D4-FAF7EA4AF123}"/>
    <hyperlink ref="X9" location="Poulestaten!A211" display="H&gt;&gt;" xr:uid="{2F8FD3E7-4D8F-4C03-9BA1-9F2FCFDAC993}"/>
    <hyperlink ref="X221" location="Poulestaten!A1" display="I" xr:uid="{6D747A9D-7469-480E-B289-B536A239F75A}"/>
    <hyperlink ref="X246" location="Poulestaten!A1" display="J" xr:uid="{E4373E00-ED9F-448E-868F-20DE4C03B0EA}"/>
    <hyperlink ref="X271" location="Poulestaten!A1" display="K" xr:uid="{4AEB3A15-4F1F-499E-B2DA-3CAE50FC0613}"/>
    <hyperlink ref="X296" location="Poulestaten!A1" display="L" xr:uid="{C2577AC3-ACC3-4C79-BA44-1D22487416AE}"/>
    <hyperlink ref="X321" location="Poulestaten!A1" display="M" xr:uid="{3184A77B-8A13-49B5-9A85-15895CB34FC4}"/>
    <hyperlink ref="X346" location="Poulestaten!A1" display="N" xr:uid="{1290798A-605B-4E68-BBE1-9259ABFB0DE4}"/>
    <hyperlink ref="X371" location="Poulestaten!A1" display="O" xr:uid="{2FA37B9D-D85D-4946-AEE3-CA28EA8164D7}"/>
    <hyperlink ref="X396" location="Poulestaten!A1" display="P" xr:uid="{CB1DF8A0-C3B2-4252-842C-B50DE4D24968}"/>
    <hyperlink ref="X421" location="Poulestaten!A1" display="Q" xr:uid="{7093DDE0-2C3F-45D1-A07C-BD304252B286}"/>
    <hyperlink ref="X446" location="Poulestaten!A1" display="R" xr:uid="{43B09BE5-B1F9-4A77-98DA-B047367040ED}"/>
    <hyperlink ref="X10" location="Poulestaten!A236" display="I&gt;&gt;" xr:uid="{39BA5AB4-925E-4C69-A4B4-22F29242C1AE}"/>
    <hyperlink ref="X11" location="Poulestaten!A261" display="J&gt;&gt;" xr:uid="{95E0BB49-F367-4295-BBA0-5F4F0E1BE850}"/>
    <hyperlink ref="X12" location="Poulestaten!A286" display="K&gt;&gt;" xr:uid="{2EEC42F0-9B9E-47EA-AA47-78A4FD430C44}"/>
    <hyperlink ref="X13" location="Poulestaten!A311" display="L&gt;&gt;" xr:uid="{C015611E-1E50-4CEB-859F-2C50248F05AD}"/>
    <hyperlink ref="X14" location="Poulestaten!A336" display="M&gt;&gt;" xr:uid="{B0107366-092B-4C7B-84A4-9FEF3AF2D54A}"/>
    <hyperlink ref="X15" location="Poulestaten!A361" display="N&gt;&gt;" xr:uid="{951C9969-1F70-41CB-94E9-7790C3AC1482}"/>
    <hyperlink ref="X16" location="Poulestaten!A386" display="O&gt;&gt;" xr:uid="{0502ADFD-A565-4013-ABD0-F88B4867A1A5}"/>
    <hyperlink ref="X17" location="Poulestaten!A411" display="P&gt;&gt;" xr:uid="{424F7CAA-42DD-4336-9794-72B29C0DFFAB}"/>
    <hyperlink ref="X18" location="Poulestaten!A436" display="Q&gt;&gt;" xr:uid="{C04E2F90-D4B7-4DDD-BC0B-D95043EDCB45}"/>
    <hyperlink ref="X19" location="Poulestaten!A461"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6</xdr:col>
                    <xdr:colOff>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259080</xdr:colOff>
                    <xdr:row>93</xdr:row>
                    <xdr:rowOff>106680</xdr:rowOff>
                  </from>
                  <to>
                    <xdr:col>8</xdr:col>
                    <xdr:colOff>99060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76200</xdr:colOff>
                    <xdr:row>93</xdr:row>
                    <xdr:rowOff>106680</xdr:rowOff>
                  </from>
                  <to>
                    <xdr:col>10</xdr:col>
                    <xdr:colOff>220980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175260</xdr:colOff>
                    <xdr:row>93</xdr:row>
                    <xdr:rowOff>106680</xdr:rowOff>
                  </from>
                  <to>
                    <xdr:col>13</xdr:col>
                    <xdr:colOff>22860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14</xdr:col>
                    <xdr:colOff>68580</xdr:colOff>
                    <xdr:row>93</xdr:row>
                    <xdr:rowOff>106680</xdr:rowOff>
                  </from>
                  <to>
                    <xdr:col>15</xdr:col>
                    <xdr:colOff>83820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396240</xdr:colOff>
                    <xdr:row>93</xdr:row>
                    <xdr:rowOff>106680</xdr:rowOff>
                  </from>
                  <to>
                    <xdr:col>16</xdr:col>
                    <xdr:colOff>411480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205740</xdr:colOff>
                    <xdr:row>93</xdr:row>
                    <xdr:rowOff>106680</xdr:rowOff>
                  </from>
                  <to>
                    <xdr:col>18</xdr:col>
                    <xdr:colOff>220980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19</xdr:col>
                    <xdr:colOff>22860</xdr:colOff>
                    <xdr:row>93</xdr:row>
                    <xdr:rowOff>106680</xdr:rowOff>
                  </from>
                  <to>
                    <xdr:col>20</xdr:col>
                    <xdr:colOff>45720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259080</xdr:colOff>
                    <xdr:row>93</xdr:row>
                    <xdr:rowOff>106680</xdr:rowOff>
                  </from>
                  <to>
                    <xdr:col>21</xdr:col>
                    <xdr:colOff>274320</xdr:colOff>
                    <xdr:row>94</xdr:row>
                    <xdr:rowOff>0</xdr:rowOff>
                  </to>
                </anchor>
              </controlPr>
            </control>
          </mc:Choice>
        </mc:AlternateContent>
        <mc:AlternateContent xmlns:mc="http://schemas.openxmlformats.org/markup-compatibility/2006">
          <mc:Choice Requires="x14">
            <control shapeId="5200" r:id="rId28" name="Button 80">
              <controlPr defaultSize="0" print="0" autoFill="0" autoPict="0" macro="[0]!kopie4">
                <anchor moveWithCells="1" sizeWithCells="1">
                  <from>
                    <xdr:col>3</xdr:col>
                    <xdr:colOff>91440</xdr:colOff>
                    <xdr:row>118</xdr:row>
                    <xdr:rowOff>167640</xdr:rowOff>
                  </from>
                  <to>
                    <xdr:col>4</xdr:col>
                    <xdr:colOff>182880</xdr:colOff>
                    <xdr:row>119</xdr:row>
                    <xdr:rowOff>53340</xdr:rowOff>
                  </to>
                </anchor>
              </controlPr>
            </control>
          </mc:Choice>
        </mc:AlternateContent>
        <mc:AlternateContent xmlns:mc="http://schemas.openxmlformats.org/markup-compatibility/2006">
          <mc:Choice Requires="x14">
            <control shapeId="5201" r:id="rId29" name="Button 81">
              <controlPr defaultSize="0" print="0" autoFill="0" autoPict="0" macro="[0]!kopie5">
                <anchor moveWithCells="1" sizeWithCells="1">
                  <from>
                    <xdr:col>5</xdr:col>
                    <xdr:colOff>144780</xdr:colOff>
                    <xdr:row>118</xdr:row>
                    <xdr:rowOff>167640</xdr:rowOff>
                  </from>
                  <to>
                    <xdr:col>6</xdr:col>
                    <xdr:colOff>281940</xdr:colOff>
                    <xdr:row>119</xdr:row>
                    <xdr:rowOff>53340</xdr:rowOff>
                  </to>
                </anchor>
              </controlPr>
            </control>
          </mc:Choice>
        </mc:AlternateContent>
        <mc:AlternateContent xmlns:mc="http://schemas.openxmlformats.org/markup-compatibility/2006">
          <mc:Choice Requires="x14">
            <control shapeId="5202" r:id="rId30" name="Button 82">
              <controlPr defaultSize="0" print="0" autoFill="0" autoPict="0" macro="[0]!kopie6">
                <anchor moveWithCells="1" sizeWithCells="1">
                  <from>
                    <xdr:col>7</xdr:col>
                    <xdr:colOff>259080</xdr:colOff>
                    <xdr:row>118</xdr:row>
                    <xdr:rowOff>167640</xdr:rowOff>
                  </from>
                  <to>
                    <xdr:col>9</xdr:col>
                    <xdr:colOff>106680</xdr:colOff>
                    <xdr:row>119</xdr:row>
                    <xdr:rowOff>53340</xdr:rowOff>
                  </to>
                </anchor>
              </controlPr>
            </control>
          </mc:Choice>
        </mc:AlternateContent>
        <mc:AlternateContent xmlns:mc="http://schemas.openxmlformats.org/markup-compatibility/2006">
          <mc:Choice Requires="x14">
            <control shapeId="5203" r:id="rId31" name="Button 83">
              <controlPr defaultSize="0" print="0" autoFill="0" autoPict="0" macro="[0]!kopie7">
                <anchor moveWithCells="1" sizeWithCells="1">
                  <from>
                    <xdr:col>10</xdr:col>
                    <xdr:colOff>60960</xdr:colOff>
                    <xdr:row>118</xdr:row>
                    <xdr:rowOff>167640</xdr:rowOff>
                  </from>
                  <to>
                    <xdr:col>11</xdr:col>
                    <xdr:colOff>205740</xdr:colOff>
                    <xdr:row>119</xdr:row>
                    <xdr:rowOff>53340</xdr:rowOff>
                  </to>
                </anchor>
              </controlPr>
            </control>
          </mc:Choice>
        </mc:AlternateContent>
        <mc:AlternateContent xmlns:mc="http://schemas.openxmlformats.org/markup-compatibility/2006">
          <mc:Choice Requires="x14">
            <control shapeId="5204" r:id="rId32" name="Button 84">
              <controlPr defaultSize="0" print="0" autoFill="0" autoPict="0" macro="[0]!kopie8">
                <anchor moveWithCells="1" sizeWithCells="1">
                  <from>
                    <xdr:col>12</xdr:col>
                    <xdr:colOff>251460</xdr:colOff>
                    <xdr:row>118</xdr:row>
                    <xdr:rowOff>167640</xdr:rowOff>
                  </from>
                  <to>
                    <xdr:col>14</xdr:col>
                    <xdr:colOff>99060</xdr:colOff>
                    <xdr:row>119</xdr:row>
                    <xdr:rowOff>53340</xdr:rowOff>
                  </to>
                </anchor>
              </controlPr>
            </control>
          </mc:Choice>
        </mc:AlternateContent>
        <mc:AlternateContent xmlns:mc="http://schemas.openxmlformats.org/markup-compatibility/2006">
          <mc:Choice Requires="x14">
            <control shapeId="5205" r:id="rId33" name="Button 85">
              <controlPr defaultSize="0" print="0" autoFill="0" autoPict="0" macro="[0]!kopie9">
                <anchor moveWithCells="1" sizeWithCells="1">
                  <from>
                    <xdr:col>14</xdr:col>
                    <xdr:colOff>411480</xdr:colOff>
                    <xdr:row>118</xdr:row>
                    <xdr:rowOff>167640</xdr:rowOff>
                  </from>
                  <to>
                    <xdr:col>16</xdr:col>
                    <xdr:colOff>0</xdr:colOff>
                    <xdr:row>119</xdr:row>
                    <xdr:rowOff>53340</xdr:rowOff>
                  </to>
                </anchor>
              </controlPr>
            </control>
          </mc:Choice>
        </mc:AlternateContent>
        <mc:AlternateContent xmlns:mc="http://schemas.openxmlformats.org/markup-compatibility/2006">
          <mc:Choice Requires="x14">
            <control shapeId="5206" r:id="rId34" name="Button 86">
              <controlPr defaultSize="0" print="0" autoFill="0" autoPict="0" macro="[0]!kopie10">
                <anchor moveWithCells="1" sizeWithCells="1">
                  <from>
                    <xdr:col>16</xdr:col>
                    <xdr:colOff>220980</xdr:colOff>
                    <xdr:row>118</xdr:row>
                    <xdr:rowOff>167640</xdr:rowOff>
                  </from>
                  <to>
                    <xdr:col>17</xdr:col>
                    <xdr:colOff>236220</xdr:colOff>
                    <xdr:row>119</xdr:row>
                    <xdr:rowOff>53340</xdr:rowOff>
                  </to>
                </anchor>
              </controlPr>
            </control>
          </mc:Choice>
        </mc:AlternateContent>
        <mc:AlternateContent xmlns:mc="http://schemas.openxmlformats.org/markup-compatibility/2006">
          <mc:Choice Requires="x14">
            <control shapeId="5207" r:id="rId35" name="Button 87">
              <controlPr defaultSize="0" print="0" autoFill="0" autoPict="0" macro="[0]!kopie11">
                <anchor moveWithCells="1" sizeWithCells="1">
                  <from>
                    <xdr:col>18</xdr:col>
                    <xdr:colOff>38100</xdr:colOff>
                    <xdr:row>118</xdr:row>
                    <xdr:rowOff>167640</xdr:rowOff>
                  </from>
                  <to>
                    <xdr:col>19</xdr:col>
                    <xdr:colOff>60960</xdr:colOff>
                    <xdr:row>119</xdr:row>
                    <xdr:rowOff>53340</xdr:rowOff>
                  </to>
                </anchor>
              </controlPr>
            </control>
          </mc:Choice>
        </mc:AlternateContent>
        <mc:AlternateContent xmlns:mc="http://schemas.openxmlformats.org/markup-compatibility/2006">
          <mc:Choice Requires="x14">
            <control shapeId="5208" r:id="rId36" name="Button 88">
              <controlPr defaultSize="0" print="0" autoFill="0" autoPict="0" macro="[0]!kopie12">
                <anchor moveWithCells="1" sizeWithCells="1">
                  <from>
                    <xdr:col>19</xdr:col>
                    <xdr:colOff>274320</xdr:colOff>
                    <xdr:row>118</xdr:row>
                    <xdr:rowOff>167640</xdr:rowOff>
                  </from>
                  <to>
                    <xdr:col>20</xdr:col>
                    <xdr:colOff>289560</xdr:colOff>
                    <xdr:row>119</xdr:row>
                    <xdr:rowOff>53340</xdr:rowOff>
                  </to>
                </anchor>
              </controlPr>
            </control>
          </mc:Choice>
        </mc:AlternateContent>
        <mc:AlternateContent xmlns:mc="http://schemas.openxmlformats.org/markup-compatibility/2006">
          <mc:Choice Requires="x14">
            <control shapeId="5209" r:id="rId37" name="Button 89">
              <controlPr defaultSize="0" print="0" autoFill="0" autoPict="0" macro="[0]!kopie4">
                <anchor moveWithCells="1" sizeWithCells="1">
                  <from>
                    <xdr:col>3</xdr:col>
                    <xdr:colOff>144780</xdr:colOff>
                    <xdr:row>143</xdr:row>
                    <xdr:rowOff>190500</xdr:rowOff>
                  </from>
                  <to>
                    <xdr:col>4</xdr:col>
                    <xdr:colOff>236220</xdr:colOff>
                    <xdr:row>144</xdr:row>
                    <xdr:rowOff>83820</xdr:rowOff>
                  </to>
                </anchor>
              </controlPr>
            </control>
          </mc:Choice>
        </mc:AlternateContent>
        <mc:AlternateContent xmlns:mc="http://schemas.openxmlformats.org/markup-compatibility/2006">
          <mc:Choice Requires="x14">
            <control shapeId="5210" r:id="rId38" name="Button 90">
              <controlPr defaultSize="0" print="0" autoFill="0" autoPict="0" macro="[0]!kopie5">
                <anchor moveWithCells="1" sizeWithCells="1">
                  <from>
                    <xdr:col>5</xdr:col>
                    <xdr:colOff>190500</xdr:colOff>
                    <xdr:row>143</xdr:row>
                    <xdr:rowOff>190500</xdr:rowOff>
                  </from>
                  <to>
                    <xdr:col>7</xdr:col>
                    <xdr:colOff>38100</xdr:colOff>
                    <xdr:row>144</xdr:row>
                    <xdr:rowOff>83820</xdr:rowOff>
                  </to>
                </anchor>
              </controlPr>
            </control>
          </mc:Choice>
        </mc:AlternateContent>
        <mc:AlternateContent xmlns:mc="http://schemas.openxmlformats.org/markup-compatibility/2006">
          <mc:Choice Requires="x14">
            <control shapeId="5211" r:id="rId39" name="Button 91">
              <controlPr defaultSize="0" print="0" autoFill="0" autoPict="0" macro="[0]!kopie6">
                <anchor moveWithCells="1" sizeWithCells="1">
                  <from>
                    <xdr:col>8</xdr:col>
                    <xdr:colOff>15240</xdr:colOff>
                    <xdr:row>143</xdr:row>
                    <xdr:rowOff>190500</xdr:rowOff>
                  </from>
                  <to>
                    <xdr:col>9</xdr:col>
                    <xdr:colOff>160020</xdr:colOff>
                    <xdr:row>144</xdr:row>
                    <xdr:rowOff>83820</xdr:rowOff>
                  </to>
                </anchor>
              </controlPr>
            </control>
          </mc:Choice>
        </mc:AlternateContent>
        <mc:AlternateContent xmlns:mc="http://schemas.openxmlformats.org/markup-compatibility/2006">
          <mc:Choice Requires="x14">
            <control shapeId="5212" r:id="rId40" name="Button 92">
              <controlPr defaultSize="0" print="0" autoFill="0" autoPict="0" macro="[0]!kopie7">
                <anchor moveWithCells="1" sizeWithCells="1">
                  <from>
                    <xdr:col>10</xdr:col>
                    <xdr:colOff>106680</xdr:colOff>
                    <xdr:row>143</xdr:row>
                    <xdr:rowOff>190500</xdr:rowOff>
                  </from>
                  <to>
                    <xdr:col>11</xdr:col>
                    <xdr:colOff>259080</xdr:colOff>
                    <xdr:row>144</xdr:row>
                    <xdr:rowOff>83820</xdr:rowOff>
                  </to>
                </anchor>
              </controlPr>
            </control>
          </mc:Choice>
        </mc:AlternateContent>
        <mc:AlternateContent xmlns:mc="http://schemas.openxmlformats.org/markup-compatibility/2006">
          <mc:Choice Requires="x14">
            <control shapeId="5213" r:id="rId41" name="Button 93">
              <controlPr defaultSize="0" print="0" autoFill="0" autoPict="0" macro="[0]!kopie8">
                <anchor moveWithCells="1" sizeWithCells="1">
                  <from>
                    <xdr:col>13</xdr:col>
                    <xdr:colOff>7620</xdr:colOff>
                    <xdr:row>143</xdr:row>
                    <xdr:rowOff>190500</xdr:rowOff>
                  </from>
                  <to>
                    <xdr:col>14</xdr:col>
                    <xdr:colOff>152400</xdr:colOff>
                    <xdr:row>144</xdr:row>
                    <xdr:rowOff>83820</xdr:rowOff>
                  </to>
                </anchor>
              </controlPr>
            </control>
          </mc:Choice>
        </mc:AlternateContent>
        <mc:AlternateContent xmlns:mc="http://schemas.openxmlformats.org/markup-compatibility/2006">
          <mc:Choice Requires="x14">
            <control shapeId="5214" r:id="rId42" name="Button 94">
              <controlPr defaultSize="0" print="0" autoFill="0" autoPict="0" macro="[0]!kopie9">
                <anchor moveWithCells="1" sizeWithCells="1">
                  <from>
                    <xdr:col>15</xdr:col>
                    <xdr:colOff>38100</xdr:colOff>
                    <xdr:row>143</xdr:row>
                    <xdr:rowOff>190500</xdr:rowOff>
                  </from>
                  <to>
                    <xdr:col>16</xdr:col>
                    <xdr:colOff>53340</xdr:colOff>
                    <xdr:row>144</xdr:row>
                    <xdr:rowOff>83820</xdr:rowOff>
                  </to>
                </anchor>
              </controlPr>
            </control>
          </mc:Choice>
        </mc:AlternateContent>
        <mc:AlternateContent xmlns:mc="http://schemas.openxmlformats.org/markup-compatibility/2006">
          <mc:Choice Requires="x14">
            <control shapeId="5215" r:id="rId43" name="Button 95">
              <controlPr defaultSize="0" print="0" autoFill="0" autoPict="0" macro="[0]!kopie10">
                <anchor moveWithCells="1" sizeWithCells="1">
                  <from>
                    <xdr:col>16</xdr:col>
                    <xdr:colOff>274320</xdr:colOff>
                    <xdr:row>143</xdr:row>
                    <xdr:rowOff>190500</xdr:rowOff>
                  </from>
                  <to>
                    <xdr:col>17</xdr:col>
                    <xdr:colOff>289560</xdr:colOff>
                    <xdr:row>144</xdr:row>
                    <xdr:rowOff>83820</xdr:rowOff>
                  </to>
                </anchor>
              </controlPr>
            </control>
          </mc:Choice>
        </mc:AlternateContent>
        <mc:AlternateContent xmlns:mc="http://schemas.openxmlformats.org/markup-compatibility/2006">
          <mc:Choice Requires="x14">
            <control shapeId="5216" r:id="rId44" name="Button 96">
              <controlPr defaultSize="0" print="0" autoFill="0" autoPict="0" macro="[0]!kopie11">
                <anchor moveWithCells="1" sizeWithCells="1">
                  <from>
                    <xdr:col>18</xdr:col>
                    <xdr:colOff>91440</xdr:colOff>
                    <xdr:row>143</xdr:row>
                    <xdr:rowOff>190500</xdr:rowOff>
                  </from>
                  <to>
                    <xdr:col>19</xdr:col>
                    <xdr:colOff>114300</xdr:colOff>
                    <xdr:row>144</xdr:row>
                    <xdr:rowOff>83820</xdr:rowOff>
                  </to>
                </anchor>
              </controlPr>
            </control>
          </mc:Choice>
        </mc:AlternateContent>
        <mc:AlternateContent xmlns:mc="http://schemas.openxmlformats.org/markup-compatibility/2006">
          <mc:Choice Requires="x14">
            <control shapeId="5217" r:id="rId45" name="Button 97">
              <controlPr defaultSize="0" print="0" autoFill="0" autoPict="0" macro="[0]!kopie12">
                <anchor moveWithCells="1" sizeWithCells="1">
                  <from>
                    <xdr:col>19</xdr:col>
                    <xdr:colOff>320040</xdr:colOff>
                    <xdr:row>143</xdr:row>
                    <xdr:rowOff>190500</xdr:rowOff>
                  </from>
                  <to>
                    <xdr:col>20</xdr:col>
                    <xdr:colOff>342900</xdr:colOff>
                    <xdr:row>144</xdr:row>
                    <xdr:rowOff>83820</xdr:rowOff>
                  </to>
                </anchor>
              </controlPr>
            </control>
          </mc:Choice>
        </mc:AlternateContent>
        <mc:AlternateContent xmlns:mc="http://schemas.openxmlformats.org/markup-compatibility/2006">
          <mc:Choice Requires="x14">
            <control shapeId="5218" r:id="rId46" name="Button 98">
              <controlPr defaultSize="0" print="0" autoFill="0" autoPict="0" macro="[0]!kopie4">
                <anchor moveWithCells="1" sizeWithCells="1">
                  <from>
                    <xdr:col>3</xdr:col>
                    <xdr:colOff>45720</xdr:colOff>
                    <xdr:row>168</xdr:row>
                    <xdr:rowOff>228600</xdr:rowOff>
                  </from>
                  <to>
                    <xdr:col>4</xdr:col>
                    <xdr:colOff>144780</xdr:colOff>
                    <xdr:row>169</xdr:row>
                    <xdr:rowOff>121920</xdr:rowOff>
                  </to>
                </anchor>
              </controlPr>
            </control>
          </mc:Choice>
        </mc:AlternateContent>
        <mc:AlternateContent xmlns:mc="http://schemas.openxmlformats.org/markup-compatibility/2006">
          <mc:Choice Requires="x14">
            <control shapeId="5219" r:id="rId47" name="Button 99">
              <controlPr defaultSize="0" print="0" autoFill="0" autoPict="0" macro="[0]!kopie5">
                <anchor moveWithCells="1" sizeWithCells="1">
                  <from>
                    <xdr:col>5</xdr:col>
                    <xdr:colOff>99060</xdr:colOff>
                    <xdr:row>168</xdr:row>
                    <xdr:rowOff>228600</xdr:rowOff>
                  </from>
                  <to>
                    <xdr:col>6</xdr:col>
                    <xdr:colOff>243840</xdr:colOff>
                    <xdr:row>169</xdr:row>
                    <xdr:rowOff>121920</xdr:rowOff>
                  </to>
                </anchor>
              </controlPr>
            </control>
          </mc:Choice>
        </mc:AlternateContent>
        <mc:AlternateContent xmlns:mc="http://schemas.openxmlformats.org/markup-compatibility/2006">
          <mc:Choice Requires="x14">
            <control shapeId="5220" r:id="rId48" name="Button 100">
              <controlPr defaultSize="0" print="0" autoFill="0" autoPict="0" macro="[0]!kopie6">
                <anchor moveWithCells="1" sizeWithCells="1">
                  <from>
                    <xdr:col>7</xdr:col>
                    <xdr:colOff>220980</xdr:colOff>
                    <xdr:row>168</xdr:row>
                    <xdr:rowOff>228600</xdr:rowOff>
                  </from>
                  <to>
                    <xdr:col>9</xdr:col>
                    <xdr:colOff>68580</xdr:colOff>
                    <xdr:row>169</xdr:row>
                    <xdr:rowOff>121920</xdr:rowOff>
                  </to>
                </anchor>
              </controlPr>
            </control>
          </mc:Choice>
        </mc:AlternateContent>
        <mc:AlternateContent xmlns:mc="http://schemas.openxmlformats.org/markup-compatibility/2006">
          <mc:Choice Requires="x14">
            <control shapeId="5221" r:id="rId49" name="Button 101">
              <controlPr defaultSize="0" print="0" autoFill="0" autoPict="0" macro="[0]!kopie7">
                <anchor moveWithCells="1" sizeWithCells="1">
                  <from>
                    <xdr:col>10</xdr:col>
                    <xdr:colOff>15240</xdr:colOff>
                    <xdr:row>168</xdr:row>
                    <xdr:rowOff>228600</xdr:rowOff>
                  </from>
                  <to>
                    <xdr:col>11</xdr:col>
                    <xdr:colOff>167640</xdr:colOff>
                    <xdr:row>169</xdr:row>
                    <xdr:rowOff>121920</xdr:rowOff>
                  </to>
                </anchor>
              </controlPr>
            </control>
          </mc:Choice>
        </mc:AlternateContent>
        <mc:AlternateContent xmlns:mc="http://schemas.openxmlformats.org/markup-compatibility/2006">
          <mc:Choice Requires="x14">
            <control shapeId="5222" r:id="rId50" name="Button 102">
              <controlPr defaultSize="0" print="0" autoFill="0" autoPict="0" macro="[0]!kopie8">
                <anchor moveWithCells="1" sizeWithCells="1">
                  <from>
                    <xdr:col>12</xdr:col>
                    <xdr:colOff>205740</xdr:colOff>
                    <xdr:row>168</xdr:row>
                    <xdr:rowOff>228600</xdr:rowOff>
                  </from>
                  <to>
                    <xdr:col>14</xdr:col>
                    <xdr:colOff>53340</xdr:colOff>
                    <xdr:row>169</xdr:row>
                    <xdr:rowOff>121920</xdr:rowOff>
                  </to>
                </anchor>
              </controlPr>
            </control>
          </mc:Choice>
        </mc:AlternateContent>
        <mc:AlternateContent xmlns:mc="http://schemas.openxmlformats.org/markup-compatibility/2006">
          <mc:Choice Requires="x14">
            <control shapeId="5223" r:id="rId51" name="Button 103">
              <controlPr defaultSize="0" print="0" autoFill="0" autoPict="0" macro="[0]!kopie9">
                <anchor moveWithCells="1" sizeWithCells="1">
                  <from>
                    <xdr:col>14</xdr:col>
                    <xdr:colOff>373380</xdr:colOff>
                    <xdr:row>168</xdr:row>
                    <xdr:rowOff>228600</xdr:rowOff>
                  </from>
                  <to>
                    <xdr:col>15</xdr:col>
                    <xdr:colOff>381000</xdr:colOff>
                    <xdr:row>169</xdr:row>
                    <xdr:rowOff>121920</xdr:rowOff>
                  </to>
                </anchor>
              </controlPr>
            </control>
          </mc:Choice>
        </mc:AlternateContent>
        <mc:AlternateContent xmlns:mc="http://schemas.openxmlformats.org/markup-compatibility/2006">
          <mc:Choice Requires="x14">
            <control shapeId="5224" r:id="rId52" name="Button 104">
              <controlPr defaultSize="0" print="0" autoFill="0" autoPict="0" macro="[0]!kopie10">
                <anchor moveWithCells="1" sizeWithCells="1">
                  <from>
                    <xdr:col>16</xdr:col>
                    <xdr:colOff>175260</xdr:colOff>
                    <xdr:row>168</xdr:row>
                    <xdr:rowOff>228600</xdr:rowOff>
                  </from>
                  <to>
                    <xdr:col>17</xdr:col>
                    <xdr:colOff>198120</xdr:colOff>
                    <xdr:row>169</xdr:row>
                    <xdr:rowOff>121920</xdr:rowOff>
                  </to>
                </anchor>
              </controlPr>
            </control>
          </mc:Choice>
        </mc:AlternateContent>
        <mc:AlternateContent xmlns:mc="http://schemas.openxmlformats.org/markup-compatibility/2006">
          <mc:Choice Requires="x14">
            <control shapeId="5225" r:id="rId53" name="Button 105">
              <controlPr defaultSize="0" print="0" autoFill="0" autoPict="0" macro="[0]!kopie11">
                <anchor moveWithCells="1" sizeWithCells="1">
                  <from>
                    <xdr:col>17</xdr:col>
                    <xdr:colOff>419100</xdr:colOff>
                    <xdr:row>168</xdr:row>
                    <xdr:rowOff>228600</xdr:rowOff>
                  </from>
                  <to>
                    <xdr:col>19</xdr:col>
                    <xdr:colOff>22860</xdr:colOff>
                    <xdr:row>169</xdr:row>
                    <xdr:rowOff>121920</xdr:rowOff>
                  </to>
                </anchor>
              </controlPr>
            </control>
          </mc:Choice>
        </mc:AlternateContent>
        <mc:AlternateContent xmlns:mc="http://schemas.openxmlformats.org/markup-compatibility/2006">
          <mc:Choice Requires="x14">
            <control shapeId="5226" r:id="rId54" name="Button 106">
              <controlPr defaultSize="0" print="0" autoFill="0" autoPict="0" macro="[0]!kopie12">
                <anchor moveWithCells="1" sizeWithCells="1">
                  <from>
                    <xdr:col>19</xdr:col>
                    <xdr:colOff>228600</xdr:colOff>
                    <xdr:row>168</xdr:row>
                    <xdr:rowOff>228600</xdr:rowOff>
                  </from>
                  <to>
                    <xdr:col>20</xdr:col>
                    <xdr:colOff>251460</xdr:colOff>
                    <xdr:row>169</xdr:row>
                    <xdr:rowOff>121920</xdr:rowOff>
                  </to>
                </anchor>
              </controlPr>
            </control>
          </mc:Choice>
        </mc:AlternateContent>
        <mc:AlternateContent xmlns:mc="http://schemas.openxmlformats.org/markup-compatibility/2006">
          <mc:Choice Requires="x14">
            <control shapeId="5227" r:id="rId55" name="Button 107">
              <controlPr defaultSize="0" print="0" autoFill="0" autoPict="0" macro="[0]!kopie4">
                <anchor moveWithCells="1" sizeWithCells="1">
                  <from>
                    <xdr:col>2</xdr:col>
                    <xdr:colOff>297180</xdr:colOff>
                    <xdr:row>193</xdr:row>
                    <xdr:rowOff>167640</xdr:rowOff>
                  </from>
                  <to>
                    <xdr:col>4</xdr:col>
                    <xdr:colOff>45720</xdr:colOff>
                    <xdr:row>194</xdr:row>
                    <xdr:rowOff>53340</xdr:rowOff>
                  </to>
                </anchor>
              </controlPr>
            </control>
          </mc:Choice>
        </mc:AlternateContent>
        <mc:AlternateContent xmlns:mc="http://schemas.openxmlformats.org/markup-compatibility/2006">
          <mc:Choice Requires="x14">
            <control shapeId="5228" r:id="rId56" name="Button 108">
              <controlPr defaultSize="0" print="0" autoFill="0" autoPict="0" macro="[0]!kopie5">
                <anchor moveWithCells="1" sizeWithCells="1">
                  <from>
                    <xdr:col>5</xdr:col>
                    <xdr:colOff>0</xdr:colOff>
                    <xdr:row>193</xdr:row>
                    <xdr:rowOff>167640</xdr:rowOff>
                  </from>
                  <to>
                    <xdr:col>6</xdr:col>
                    <xdr:colOff>144780</xdr:colOff>
                    <xdr:row>194</xdr:row>
                    <xdr:rowOff>53340</xdr:rowOff>
                  </to>
                </anchor>
              </controlPr>
            </control>
          </mc:Choice>
        </mc:AlternateContent>
        <mc:AlternateContent xmlns:mc="http://schemas.openxmlformats.org/markup-compatibility/2006">
          <mc:Choice Requires="x14">
            <control shapeId="5229" r:id="rId57" name="Button 109">
              <controlPr defaultSize="0" print="0" autoFill="0" autoPict="0" macro="[0]!kopie6">
                <anchor moveWithCells="1" sizeWithCells="1">
                  <from>
                    <xdr:col>7</xdr:col>
                    <xdr:colOff>121920</xdr:colOff>
                    <xdr:row>193</xdr:row>
                    <xdr:rowOff>167640</xdr:rowOff>
                  </from>
                  <to>
                    <xdr:col>8</xdr:col>
                    <xdr:colOff>266700</xdr:colOff>
                    <xdr:row>194</xdr:row>
                    <xdr:rowOff>53340</xdr:rowOff>
                  </to>
                </anchor>
              </controlPr>
            </control>
          </mc:Choice>
        </mc:AlternateContent>
        <mc:AlternateContent xmlns:mc="http://schemas.openxmlformats.org/markup-compatibility/2006">
          <mc:Choice Requires="x14">
            <control shapeId="5230" r:id="rId58" name="Button 110">
              <controlPr defaultSize="0" print="0" autoFill="0" autoPict="0" macro="[0]!kopie7">
                <anchor moveWithCells="1" sizeWithCells="1">
                  <from>
                    <xdr:col>9</xdr:col>
                    <xdr:colOff>213360</xdr:colOff>
                    <xdr:row>193</xdr:row>
                    <xdr:rowOff>167640</xdr:rowOff>
                  </from>
                  <to>
                    <xdr:col>11</xdr:col>
                    <xdr:colOff>68580</xdr:colOff>
                    <xdr:row>194</xdr:row>
                    <xdr:rowOff>53340</xdr:rowOff>
                  </to>
                </anchor>
              </controlPr>
            </control>
          </mc:Choice>
        </mc:AlternateContent>
        <mc:AlternateContent xmlns:mc="http://schemas.openxmlformats.org/markup-compatibility/2006">
          <mc:Choice Requires="x14">
            <control shapeId="5231" r:id="rId59" name="Button 111">
              <controlPr defaultSize="0" print="0" autoFill="0" autoPict="0" macro="[0]!kopie8">
                <anchor moveWithCells="1" sizeWithCells="1">
                  <from>
                    <xdr:col>12</xdr:col>
                    <xdr:colOff>114300</xdr:colOff>
                    <xdr:row>193</xdr:row>
                    <xdr:rowOff>167640</xdr:rowOff>
                  </from>
                  <to>
                    <xdr:col>13</xdr:col>
                    <xdr:colOff>259080</xdr:colOff>
                    <xdr:row>194</xdr:row>
                    <xdr:rowOff>53340</xdr:rowOff>
                  </to>
                </anchor>
              </controlPr>
            </control>
          </mc:Choice>
        </mc:AlternateContent>
        <mc:AlternateContent xmlns:mc="http://schemas.openxmlformats.org/markup-compatibility/2006">
          <mc:Choice Requires="x14">
            <control shapeId="5232" r:id="rId60" name="Button 112">
              <controlPr defaultSize="0" print="0" autoFill="0" autoPict="0" macro="[0]!kopie9">
                <anchor moveWithCells="1" sizeWithCells="1">
                  <from>
                    <xdr:col>14</xdr:col>
                    <xdr:colOff>274320</xdr:colOff>
                    <xdr:row>193</xdr:row>
                    <xdr:rowOff>167640</xdr:rowOff>
                  </from>
                  <to>
                    <xdr:col>15</xdr:col>
                    <xdr:colOff>289560</xdr:colOff>
                    <xdr:row>194</xdr:row>
                    <xdr:rowOff>53340</xdr:rowOff>
                  </to>
                </anchor>
              </controlPr>
            </control>
          </mc:Choice>
        </mc:AlternateContent>
        <mc:AlternateContent xmlns:mc="http://schemas.openxmlformats.org/markup-compatibility/2006">
          <mc:Choice Requires="x14">
            <control shapeId="5233" r:id="rId61" name="Button 113">
              <controlPr defaultSize="0" print="0" autoFill="0" autoPict="0" macro="[0]!kopie10">
                <anchor moveWithCells="1" sizeWithCells="1">
                  <from>
                    <xdr:col>16</xdr:col>
                    <xdr:colOff>83820</xdr:colOff>
                    <xdr:row>193</xdr:row>
                    <xdr:rowOff>167640</xdr:rowOff>
                  </from>
                  <to>
                    <xdr:col>17</xdr:col>
                    <xdr:colOff>99060</xdr:colOff>
                    <xdr:row>194</xdr:row>
                    <xdr:rowOff>53340</xdr:rowOff>
                  </to>
                </anchor>
              </controlPr>
            </control>
          </mc:Choice>
        </mc:AlternateContent>
        <mc:AlternateContent xmlns:mc="http://schemas.openxmlformats.org/markup-compatibility/2006">
          <mc:Choice Requires="x14">
            <control shapeId="5234" r:id="rId62" name="Button 114">
              <controlPr defaultSize="0" print="0" autoFill="0" autoPict="0" macro="[0]!kopie11">
                <anchor moveWithCells="1" sizeWithCells="1">
                  <from>
                    <xdr:col>17</xdr:col>
                    <xdr:colOff>327660</xdr:colOff>
                    <xdr:row>193</xdr:row>
                    <xdr:rowOff>167640</xdr:rowOff>
                  </from>
                  <to>
                    <xdr:col>18</xdr:col>
                    <xdr:colOff>350520</xdr:colOff>
                    <xdr:row>194</xdr:row>
                    <xdr:rowOff>53340</xdr:rowOff>
                  </to>
                </anchor>
              </controlPr>
            </control>
          </mc:Choice>
        </mc:AlternateContent>
        <mc:AlternateContent xmlns:mc="http://schemas.openxmlformats.org/markup-compatibility/2006">
          <mc:Choice Requires="x14">
            <control shapeId="5235" r:id="rId63" name="Button 115">
              <controlPr defaultSize="0" print="0" autoFill="0" autoPict="0" macro="[0]!kopie12">
                <anchor moveWithCells="1" sizeWithCells="1">
                  <from>
                    <xdr:col>19</xdr:col>
                    <xdr:colOff>137160</xdr:colOff>
                    <xdr:row>193</xdr:row>
                    <xdr:rowOff>167640</xdr:rowOff>
                  </from>
                  <to>
                    <xdr:col>20</xdr:col>
                    <xdr:colOff>152400</xdr:colOff>
                    <xdr:row>194</xdr:row>
                    <xdr:rowOff>53340</xdr:rowOff>
                  </to>
                </anchor>
              </controlPr>
            </control>
          </mc:Choice>
        </mc:AlternateContent>
        <mc:AlternateContent xmlns:mc="http://schemas.openxmlformats.org/markup-compatibility/2006">
          <mc:Choice Requires="x14">
            <control shapeId="5236" r:id="rId64" name="Button 116">
              <controlPr defaultSize="0" print="0" autoFill="0" autoPict="0" macro="[0]!kopie4">
                <anchor moveWithCells="1" sizeWithCells="1">
                  <from>
                    <xdr:col>4</xdr:col>
                    <xdr:colOff>182880</xdr:colOff>
                    <xdr:row>44</xdr:row>
                    <xdr:rowOff>15240</xdr:rowOff>
                  </from>
                  <to>
                    <xdr:col>6</xdr:col>
                    <xdr:colOff>38100</xdr:colOff>
                    <xdr:row>44</xdr:row>
                    <xdr:rowOff>190500</xdr:rowOff>
                  </to>
                </anchor>
              </controlPr>
            </control>
          </mc:Choice>
        </mc:AlternateContent>
        <mc:AlternateContent xmlns:mc="http://schemas.openxmlformats.org/markup-compatibility/2006">
          <mc:Choice Requires="x14">
            <control shapeId="5237" r:id="rId65" name="Button 117">
              <controlPr defaultSize="0" print="0" autoFill="0" autoPict="0" macro="[0]!kopie5">
                <anchor moveWithCells="1" sizeWithCells="1">
                  <from>
                    <xdr:col>6</xdr:col>
                    <xdr:colOff>289560</xdr:colOff>
                    <xdr:row>44</xdr:row>
                    <xdr:rowOff>15240</xdr:rowOff>
                  </from>
                  <to>
                    <xdr:col>8</xdr:col>
                    <xdr:colOff>137160</xdr:colOff>
                    <xdr:row>44</xdr:row>
                    <xdr:rowOff>190500</xdr:rowOff>
                  </to>
                </anchor>
              </controlPr>
            </control>
          </mc:Choice>
        </mc:AlternateContent>
        <mc:AlternateContent xmlns:mc="http://schemas.openxmlformats.org/markup-compatibility/2006">
          <mc:Choice Requires="x14">
            <control shapeId="5238" r:id="rId66" name="Button 118">
              <controlPr defaultSize="0" print="0" autoFill="0" autoPict="0" macro="[0]!kopie6">
                <anchor moveWithCells="1" sizeWithCells="1">
                  <from>
                    <xdr:col>9</xdr:col>
                    <xdr:colOff>114300</xdr:colOff>
                    <xdr:row>44</xdr:row>
                    <xdr:rowOff>15240</xdr:rowOff>
                  </from>
                  <to>
                    <xdr:col>10</xdr:col>
                    <xdr:colOff>259080</xdr:colOff>
                    <xdr:row>44</xdr:row>
                    <xdr:rowOff>190500</xdr:rowOff>
                  </to>
                </anchor>
              </controlPr>
            </control>
          </mc:Choice>
        </mc:AlternateContent>
        <mc:AlternateContent xmlns:mc="http://schemas.openxmlformats.org/markup-compatibility/2006">
          <mc:Choice Requires="x14">
            <control shapeId="5239" r:id="rId67" name="Button 119">
              <controlPr defaultSize="0" print="0" autoFill="0" autoPict="0" macro="[0]!kopie7">
                <anchor moveWithCells="1" sizeWithCells="1">
                  <from>
                    <xdr:col>11</xdr:col>
                    <xdr:colOff>205740</xdr:colOff>
                    <xdr:row>44</xdr:row>
                    <xdr:rowOff>15240</xdr:rowOff>
                  </from>
                  <to>
                    <xdr:col>13</xdr:col>
                    <xdr:colOff>60960</xdr:colOff>
                    <xdr:row>44</xdr:row>
                    <xdr:rowOff>190500</xdr:rowOff>
                  </to>
                </anchor>
              </controlPr>
            </control>
          </mc:Choice>
        </mc:AlternateContent>
        <mc:AlternateContent xmlns:mc="http://schemas.openxmlformats.org/markup-compatibility/2006">
          <mc:Choice Requires="x14">
            <control shapeId="5240" r:id="rId68" name="Button 120">
              <controlPr defaultSize="0" print="0" autoFill="0" autoPict="0" macro="[0]!kopie8">
                <anchor moveWithCells="1" sizeWithCells="1">
                  <from>
                    <xdr:col>14</xdr:col>
                    <xdr:colOff>99060</xdr:colOff>
                    <xdr:row>44</xdr:row>
                    <xdr:rowOff>15240</xdr:rowOff>
                  </from>
                  <to>
                    <xdr:col>15</xdr:col>
                    <xdr:colOff>121920</xdr:colOff>
                    <xdr:row>44</xdr:row>
                    <xdr:rowOff>190500</xdr:rowOff>
                  </to>
                </anchor>
              </controlPr>
            </control>
          </mc:Choice>
        </mc:AlternateContent>
        <mc:AlternateContent xmlns:mc="http://schemas.openxmlformats.org/markup-compatibility/2006">
          <mc:Choice Requires="x14">
            <control shapeId="5241" r:id="rId69" name="Button 121">
              <controlPr defaultSize="0" print="0" autoFill="0" autoPict="0" macro="[0]!kopie9">
                <anchor moveWithCells="1" sizeWithCells="1">
                  <from>
                    <xdr:col>16</xdr:col>
                    <xdr:colOff>7620</xdr:colOff>
                    <xdr:row>44</xdr:row>
                    <xdr:rowOff>15240</xdr:rowOff>
                  </from>
                  <to>
                    <xdr:col>17</xdr:col>
                    <xdr:colOff>22860</xdr:colOff>
                    <xdr:row>44</xdr:row>
                    <xdr:rowOff>190500</xdr:rowOff>
                  </to>
                </anchor>
              </controlPr>
            </control>
          </mc:Choice>
        </mc:AlternateContent>
        <mc:AlternateContent xmlns:mc="http://schemas.openxmlformats.org/markup-compatibility/2006">
          <mc:Choice Requires="x14">
            <control shapeId="5242" r:id="rId70" name="Button 122">
              <controlPr defaultSize="0" print="0" autoFill="0" autoPict="0" macro="[0]!kopie10">
                <anchor moveWithCells="1" sizeWithCells="1">
                  <from>
                    <xdr:col>17</xdr:col>
                    <xdr:colOff>243840</xdr:colOff>
                    <xdr:row>44</xdr:row>
                    <xdr:rowOff>15240</xdr:rowOff>
                  </from>
                  <to>
                    <xdr:col>18</xdr:col>
                    <xdr:colOff>259080</xdr:colOff>
                    <xdr:row>44</xdr:row>
                    <xdr:rowOff>190500</xdr:rowOff>
                  </to>
                </anchor>
              </controlPr>
            </control>
          </mc:Choice>
        </mc:AlternateContent>
        <mc:AlternateContent xmlns:mc="http://schemas.openxmlformats.org/markup-compatibility/2006">
          <mc:Choice Requires="x14">
            <control shapeId="5243" r:id="rId71" name="Button 123">
              <controlPr defaultSize="0" print="0" autoFill="0" autoPict="0" macro="[0]!kopie11">
                <anchor moveWithCells="1" sizeWithCells="1">
                  <from>
                    <xdr:col>19</xdr:col>
                    <xdr:colOff>60960</xdr:colOff>
                    <xdr:row>44</xdr:row>
                    <xdr:rowOff>15240</xdr:rowOff>
                  </from>
                  <to>
                    <xdr:col>20</xdr:col>
                    <xdr:colOff>83820</xdr:colOff>
                    <xdr:row>44</xdr:row>
                    <xdr:rowOff>190500</xdr:rowOff>
                  </to>
                </anchor>
              </controlPr>
            </control>
          </mc:Choice>
        </mc:AlternateContent>
        <mc:AlternateContent xmlns:mc="http://schemas.openxmlformats.org/markup-compatibility/2006">
          <mc:Choice Requires="x14">
            <control shapeId="5244" r:id="rId72" name="Button 124">
              <controlPr defaultSize="0" print="0" autoFill="0" autoPict="0" macro="[0]!kopie12">
                <anchor moveWithCells="1" sizeWithCells="1">
                  <from>
                    <xdr:col>20</xdr:col>
                    <xdr:colOff>297180</xdr:colOff>
                    <xdr:row>44</xdr:row>
                    <xdr:rowOff>15240</xdr:rowOff>
                  </from>
                  <to>
                    <xdr:col>21</xdr:col>
                    <xdr:colOff>312420</xdr:colOff>
                    <xdr:row>44</xdr:row>
                    <xdr:rowOff>190500</xdr:rowOff>
                  </to>
                </anchor>
              </controlPr>
            </control>
          </mc:Choice>
        </mc:AlternateContent>
        <mc:AlternateContent xmlns:mc="http://schemas.openxmlformats.org/markup-compatibility/2006">
          <mc:Choice Requires="x14">
            <control shapeId="5136" r:id="rId73"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74"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75" name="Button 130">
              <controlPr defaultSize="0" print="0" autoFill="0" autoPict="0" macro="[0]!kopie4">
                <anchor moveWithCells="1" sizeWithCells="1">
                  <from>
                    <xdr:col>3</xdr:col>
                    <xdr:colOff>99060</xdr:colOff>
                    <xdr:row>243</xdr:row>
                    <xdr:rowOff>175260</xdr:rowOff>
                  </from>
                  <to>
                    <xdr:col>4</xdr:col>
                    <xdr:colOff>190500</xdr:colOff>
                    <xdr:row>244</xdr:row>
                    <xdr:rowOff>60960</xdr:rowOff>
                  </to>
                </anchor>
              </controlPr>
            </control>
          </mc:Choice>
        </mc:AlternateContent>
        <mc:AlternateContent xmlns:mc="http://schemas.openxmlformats.org/markup-compatibility/2006">
          <mc:Choice Requires="x14">
            <control shapeId="5251" r:id="rId76" name="Button 131">
              <controlPr defaultSize="0" print="0" autoFill="0" autoPict="0" macro="[0]!kopie5">
                <anchor moveWithCells="1" sizeWithCells="1">
                  <from>
                    <xdr:col>5</xdr:col>
                    <xdr:colOff>152400</xdr:colOff>
                    <xdr:row>243</xdr:row>
                    <xdr:rowOff>175260</xdr:rowOff>
                  </from>
                  <to>
                    <xdr:col>6</xdr:col>
                    <xdr:colOff>289560</xdr:colOff>
                    <xdr:row>244</xdr:row>
                    <xdr:rowOff>60960</xdr:rowOff>
                  </to>
                </anchor>
              </controlPr>
            </control>
          </mc:Choice>
        </mc:AlternateContent>
        <mc:AlternateContent xmlns:mc="http://schemas.openxmlformats.org/markup-compatibility/2006">
          <mc:Choice Requires="x14">
            <control shapeId="5252" r:id="rId77" name="Button 132">
              <controlPr defaultSize="0" print="0" autoFill="0" autoPict="0" macro="[0]!kopie6">
                <anchor moveWithCells="1" sizeWithCells="1">
                  <from>
                    <xdr:col>7</xdr:col>
                    <xdr:colOff>266700</xdr:colOff>
                    <xdr:row>243</xdr:row>
                    <xdr:rowOff>175260</xdr:rowOff>
                  </from>
                  <to>
                    <xdr:col>9</xdr:col>
                    <xdr:colOff>114300</xdr:colOff>
                    <xdr:row>244</xdr:row>
                    <xdr:rowOff>60960</xdr:rowOff>
                  </to>
                </anchor>
              </controlPr>
            </control>
          </mc:Choice>
        </mc:AlternateContent>
        <mc:AlternateContent xmlns:mc="http://schemas.openxmlformats.org/markup-compatibility/2006">
          <mc:Choice Requires="x14">
            <control shapeId="5253" r:id="rId78" name="Button 133">
              <controlPr defaultSize="0" print="0" autoFill="0" autoPict="0" macro="[0]!kopie7">
                <anchor moveWithCells="1" sizeWithCells="1">
                  <from>
                    <xdr:col>10</xdr:col>
                    <xdr:colOff>68580</xdr:colOff>
                    <xdr:row>243</xdr:row>
                    <xdr:rowOff>175260</xdr:rowOff>
                  </from>
                  <to>
                    <xdr:col>11</xdr:col>
                    <xdr:colOff>213360</xdr:colOff>
                    <xdr:row>244</xdr:row>
                    <xdr:rowOff>60960</xdr:rowOff>
                  </to>
                </anchor>
              </controlPr>
            </control>
          </mc:Choice>
        </mc:AlternateContent>
        <mc:AlternateContent xmlns:mc="http://schemas.openxmlformats.org/markup-compatibility/2006">
          <mc:Choice Requires="x14">
            <control shapeId="5254" r:id="rId79" name="Button 134">
              <controlPr defaultSize="0" print="0" autoFill="0" autoPict="0" macro="[0]!kopie8">
                <anchor moveWithCells="1" sizeWithCells="1">
                  <from>
                    <xdr:col>12</xdr:col>
                    <xdr:colOff>259080</xdr:colOff>
                    <xdr:row>243</xdr:row>
                    <xdr:rowOff>175260</xdr:rowOff>
                  </from>
                  <to>
                    <xdr:col>14</xdr:col>
                    <xdr:colOff>106680</xdr:colOff>
                    <xdr:row>244</xdr:row>
                    <xdr:rowOff>60960</xdr:rowOff>
                  </to>
                </anchor>
              </controlPr>
            </control>
          </mc:Choice>
        </mc:AlternateContent>
        <mc:AlternateContent xmlns:mc="http://schemas.openxmlformats.org/markup-compatibility/2006">
          <mc:Choice Requires="x14">
            <control shapeId="5255" r:id="rId80" name="Button 135">
              <controlPr defaultSize="0" print="0" autoFill="0" autoPict="0" macro="[0]!kopie9">
                <anchor moveWithCells="1" sizeWithCells="1">
                  <from>
                    <xdr:col>14</xdr:col>
                    <xdr:colOff>419100</xdr:colOff>
                    <xdr:row>243</xdr:row>
                    <xdr:rowOff>175260</xdr:rowOff>
                  </from>
                  <to>
                    <xdr:col>16</xdr:col>
                    <xdr:colOff>7620</xdr:colOff>
                    <xdr:row>244</xdr:row>
                    <xdr:rowOff>60960</xdr:rowOff>
                  </to>
                </anchor>
              </controlPr>
            </control>
          </mc:Choice>
        </mc:AlternateContent>
        <mc:AlternateContent xmlns:mc="http://schemas.openxmlformats.org/markup-compatibility/2006">
          <mc:Choice Requires="x14">
            <control shapeId="5256" r:id="rId81" name="Button 136">
              <controlPr defaultSize="0" print="0" autoFill="0" autoPict="0" macro="[0]!kopie10">
                <anchor moveWithCells="1" sizeWithCells="1">
                  <from>
                    <xdr:col>16</xdr:col>
                    <xdr:colOff>228600</xdr:colOff>
                    <xdr:row>243</xdr:row>
                    <xdr:rowOff>175260</xdr:rowOff>
                  </from>
                  <to>
                    <xdr:col>17</xdr:col>
                    <xdr:colOff>243840</xdr:colOff>
                    <xdr:row>244</xdr:row>
                    <xdr:rowOff>60960</xdr:rowOff>
                  </to>
                </anchor>
              </controlPr>
            </control>
          </mc:Choice>
        </mc:AlternateContent>
        <mc:AlternateContent xmlns:mc="http://schemas.openxmlformats.org/markup-compatibility/2006">
          <mc:Choice Requires="x14">
            <control shapeId="5257" r:id="rId82" name="Button 137">
              <controlPr defaultSize="0" print="0" autoFill="0" autoPict="0" macro="[0]!kopie11">
                <anchor moveWithCells="1" sizeWithCells="1">
                  <from>
                    <xdr:col>18</xdr:col>
                    <xdr:colOff>45720</xdr:colOff>
                    <xdr:row>243</xdr:row>
                    <xdr:rowOff>175260</xdr:rowOff>
                  </from>
                  <to>
                    <xdr:col>19</xdr:col>
                    <xdr:colOff>68580</xdr:colOff>
                    <xdr:row>244</xdr:row>
                    <xdr:rowOff>60960</xdr:rowOff>
                  </to>
                </anchor>
              </controlPr>
            </control>
          </mc:Choice>
        </mc:AlternateContent>
        <mc:AlternateContent xmlns:mc="http://schemas.openxmlformats.org/markup-compatibility/2006">
          <mc:Choice Requires="x14">
            <control shapeId="5258" r:id="rId83" name="Button 138">
              <controlPr defaultSize="0" print="0" autoFill="0" autoPict="0" macro="[0]!kopie12">
                <anchor moveWithCells="1" sizeWithCells="1">
                  <from>
                    <xdr:col>19</xdr:col>
                    <xdr:colOff>281940</xdr:colOff>
                    <xdr:row>243</xdr:row>
                    <xdr:rowOff>175260</xdr:rowOff>
                  </from>
                  <to>
                    <xdr:col>20</xdr:col>
                    <xdr:colOff>297180</xdr:colOff>
                    <xdr:row>244</xdr:row>
                    <xdr:rowOff>60960</xdr:rowOff>
                  </to>
                </anchor>
              </controlPr>
            </control>
          </mc:Choice>
        </mc:AlternateContent>
        <mc:AlternateContent xmlns:mc="http://schemas.openxmlformats.org/markup-compatibility/2006">
          <mc:Choice Requires="x14">
            <control shapeId="5260" r:id="rId84" name="Button 140">
              <controlPr defaultSize="0" print="0" autoFill="0" autoPict="0" macro="[0]!kopie4">
                <anchor moveWithCells="1" sizeWithCells="1">
                  <from>
                    <xdr:col>3</xdr:col>
                    <xdr:colOff>38100</xdr:colOff>
                    <xdr:row>268</xdr:row>
                    <xdr:rowOff>236220</xdr:rowOff>
                  </from>
                  <to>
                    <xdr:col>4</xdr:col>
                    <xdr:colOff>137160</xdr:colOff>
                    <xdr:row>269</xdr:row>
                    <xdr:rowOff>129540</xdr:rowOff>
                  </to>
                </anchor>
              </controlPr>
            </control>
          </mc:Choice>
        </mc:AlternateContent>
        <mc:AlternateContent xmlns:mc="http://schemas.openxmlformats.org/markup-compatibility/2006">
          <mc:Choice Requires="x14">
            <control shapeId="5261" r:id="rId85" name="Button 141">
              <controlPr defaultSize="0" print="0" autoFill="0" autoPict="0" macro="[0]!kopie5">
                <anchor moveWithCells="1" sizeWithCells="1">
                  <from>
                    <xdr:col>5</xdr:col>
                    <xdr:colOff>91440</xdr:colOff>
                    <xdr:row>268</xdr:row>
                    <xdr:rowOff>236220</xdr:rowOff>
                  </from>
                  <to>
                    <xdr:col>6</xdr:col>
                    <xdr:colOff>236220</xdr:colOff>
                    <xdr:row>269</xdr:row>
                    <xdr:rowOff>129540</xdr:rowOff>
                  </to>
                </anchor>
              </controlPr>
            </control>
          </mc:Choice>
        </mc:AlternateContent>
        <mc:AlternateContent xmlns:mc="http://schemas.openxmlformats.org/markup-compatibility/2006">
          <mc:Choice Requires="x14">
            <control shapeId="5262" r:id="rId86" name="Button 142">
              <controlPr defaultSize="0" print="0" autoFill="0" autoPict="0" macro="[0]!kopie6">
                <anchor moveWithCells="1" sizeWithCells="1">
                  <from>
                    <xdr:col>7</xdr:col>
                    <xdr:colOff>213360</xdr:colOff>
                    <xdr:row>268</xdr:row>
                    <xdr:rowOff>236220</xdr:rowOff>
                  </from>
                  <to>
                    <xdr:col>9</xdr:col>
                    <xdr:colOff>60960</xdr:colOff>
                    <xdr:row>269</xdr:row>
                    <xdr:rowOff>129540</xdr:rowOff>
                  </to>
                </anchor>
              </controlPr>
            </control>
          </mc:Choice>
        </mc:AlternateContent>
        <mc:AlternateContent xmlns:mc="http://schemas.openxmlformats.org/markup-compatibility/2006">
          <mc:Choice Requires="x14">
            <control shapeId="5263" r:id="rId87" name="Button 143">
              <controlPr defaultSize="0" print="0" autoFill="0" autoPict="0" macro="[0]!kopie7">
                <anchor moveWithCells="1" sizeWithCells="1">
                  <from>
                    <xdr:col>10</xdr:col>
                    <xdr:colOff>7620</xdr:colOff>
                    <xdr:row>268</xdr:row>
                    <xdr:rowOff>236220</xdr:rowOff>
                  </from>
                  <to>
                    <xdr:col>11</xdr:col>
                    <xdr:colOff>160020</xdr:colOff>
                    <xdr:row>269</xdr:row>
                    <xdr:rowOff>129540</xdr:rowOff>
                  </to>
                </anchor>
              </controlPr>
            </control>
          </mc:Choice>
        </mc:AlternateContent>
        <mc:AlternateContent xmlns:mc="http://schemas.openxmlformats.org/markup-compatibility/2006">
          <mc:Choice Requires="x14">
            <control shapeId="5264" r:id="rId88" name="Button 144">
              <controlPr defaultSize="0" print="0" autoFill="0" autoPict="0" macro="[0]!kopie8">
                <anchor moveWithCells="1" sizeWithCells="1">
                  <from>
                    <xdr:col>12</xdr:col>
                    <xdr:colOff>198120</xdr:colOff>
                    <xdr:row>268</xdr:row>
                    <xdr:rowOff>236220</xdr:rowOff>
                  </from>
                  <to>
                    <xdr:col>14</xdr:col>
                    <xdr:colOff>45720</xdr:colOff>
                    <xdr:row>269</xdr:row>
                    <xdr:rowOff>129540</xdr:rowOff>
                  </to>
                </anchor>
              </controlPr>
            </control>
          </mc:Choice>
        </mc:AlternateContent>
        <mc:AlternateContent xmlns:mc="http://schemas.openxmlformats.org/markup-compatibility/2006">
          <mc:Choice Requires="x14">
            <control shapeId="5265" r:id="rId89" name="Button 145">
              <controlPr defaultSize="0" print="0" autoFill="0" autoPict="0" macro="[0]!kopie9">
                <anchor moveWithCells="1" sizeWithCells="1">
                  <from>
                    <xdr:col>14</xdr:col>
                    <xdr:colOff>358140</xdr:colOff>
                    <xdr:row>268</xdr:row>
                    <xdr:rowOff>236220</xdr:rowOff>
                  </from>
                  <to>
                    <xdr:col>15</xdr:col>
                    <xdr:colOff>373380</xdr:colOff>
                    <xdr:row>269</xdr:row>
                    <xdr:rowOff>129540</xdr:rowOff>
                  </to>
                </anchor>
              </controlPr>
            </control>
          </mc:Choice>
        </mc:AlternateContent>
        <mc:AlternateContent xmlns:mc="http://schemas.openxmlformats.org/markup-compatibility/2006">
          <mc:Choice Requires="x14">
            <control shapeId="5266" r:id="rId90" name="Button 146">
              <controlPr defaultSize="0" print="0" autoFill="0" autoPict="0" macro="[0]!kopie10">
                <anchor moveWithCells="1" sizeWithCells="1">
                  <from>
                    <xdr:col>16</xdr:col>
                    <xdr:colOff>167640</xdr:colOff>
                    <xdr:row>268</xdr:row>
                    <xdr:rowOff>236220</xdr:rowOff>
                  </from>
                  <to>
                    <xdr:col>17</xdr:col>
                    <xdr:colOff>182880</xdr:colOff>
                    <xdr:row>269</xdr:row>
                    <xdr:rowOff>129540</xdr:rowOff>
                  </to>
                </anchor>
              </controlPr>
            </control>
          </mc:Choice>
        </mc:AlternateContent>
        <mc:AlternateContent xmlns:mc="http://schemas.openxmlformats.org/markup-compatibility/2006">
          <mc:Choice Requires="x14">
            <control shapeId="5267" r:id="rId91" name="Button 147">
              <controlPr defaultSize="0" print="0" autoFill="0" autoPict="0" macro="[0]!kopie11">
                <anchor moveWithCells="1" sizeWithCells="1">
                  <from>
                    <xdr:col>17</xdr:col>
                    <xdr:colOff>411480</xdr:colOff>
                    <xdr:row>268</xdr:row>
                    <xdr:rowOff>236220</xdr:rowOff>
                  </from>
                  <to>
                    <xdr:col>19</xdr:col>
                    <xdr:colOff>15240</xdr:colOff>
                    <xdr:row>269</xdr:row>
                    <xdr:rowOff>129540</xdr:rowOff>
                  </to>
                </anchor>
              </controlPr>
            </control>
          </mc:Choice>
        </mc:AlternateContent>
        <mc:AlternateContent xmlns:mc="http://schemas.openxmlformats.org/markup-compatibility/2006">
          <mc:Choice Requires="x14">
            <control shapeId="5268" r:id="rId92" name="Button 148">
              <controlPr defaultSize="0" print="0" autoFill="0" autoPict="0" macro="[0]!kopie12">
                <anchor moveWithCells="1" sizeWithCells="1">
                  <from>
                    <xdr:col>19</xdr:col>
                    <xdr:colOff>220980</xdr:colOff>
                    <xdr:row>268</xdr:row>
                    <xdr:rowOff>236220</xdr:rowOff>
                  </from>
                  <to>
                    <xdr:col>20</xdr:col>
                    <xdr:colOff>236220</xdr:colOff>
                    <xdr:row>269</xdr:row>
                    <xdr:rowOff>129540</xdr:rowOff>
                  </to>
                </anchor>
              </controlPr>
            </control>
          </mc:Choice>
        </mc:AlternateContent>
        <mc:AlternateContent xmlns:mc="http://schemas.openxmlformats.org/markup-compatibility/2006">
          <mc:Choice Requires="x14">
            <control shapeId="5270" r:id="rId93" name="Button 150">
              <controlPr defaultSize="0" print="0" autoFill="0" autoPict="0" macro="[0]!kopie4">
                <anchor moveWithCells="1" sizeWithCells="1">
                  <from>
                    <xdr:col>3</xdr:col>
                    <xdr:colOff>45720</xdr:colOff>
                    <xdr:row>293</xdr:row>
                    <xdr:rowOff>167640</xdr:rowOff>
                  </from>
                  <to>
                    <xdr:col>4</xdr:col>
                    <xdr:colOff>144780</xdr:colOff>
                    <xdr:row>294</xdr:row>
                    <xdr:rowOff>53340</xdr:rowOff>
                  </to>
                </anchor>
              </controlPr>
            </control>
          </mc:Choice>
        </mc:AlternateContent>
        <mc:AlternateContent xmlns:mc="http://schemas.openxmlformats.org/markup-compatibility/2006">
          <mc:Choice Requires="x14">
            <control shapeId="5271" r:id="rId94" name="Button 151">
              <controlPr defaultSize="0" print="0" autoFill="0" autoPict="0" macro="[0]!kopie5">
                <anchor moveWithCells="1" sizeWithCells="1">
                  <from>
                    <xdr:col>5</xdr:col>
                    <xdr:colOff>99060</xdr:colOff>
                    <xdr:row>293</xdr:row>
                    <xdr:rowOff>167640</xdr:rowOff>
                  </from>
                  <to>
                    <xdr:col>6</xdr:col>
                    <xdr:colOff>243840</xdr:colOff>
                    <xdr:row>294</xdr:row>
                    <xdr:rowOff>53340</xdr:rowOff>
                  </to>
                </anchor>
              </controlPr>
            </control>
          </mc:Choice>
        </mc:AlternateContent>
        <mc:AlternateContent xmlns:mc="http://schemas.openxmlformats.org/markup-compatibility/2006">
          <mc:Choice Requires="x14">
            <control shapeId="5272" r:id="rId95" name="Button 152">
              <controlPr defaultSize="0" print="0" autoFill="0" autoPict="0" macro="[0]!kopie6">
                <anchor moveWithCells="1" sizeWithCells="1">
                  <from>
                    <xdr:col>7</xdr:col>
                    <xdr:colOff>220980</xdr:colOff>
                    <xdr:row>293</xdr:row>
                    <xdr:rowOff>167640</xdr:rowOff>
                  </from>
                  <to>
                    <xdr:col>9</xdr:col>
                    <xdr:colOff>68580</xdr:colOff>
                    <xdr:row>294</xdr:row>
                    <xdr:rowOff>53340</xdr:rowOff>
                  </to>
                </anchor>
              </controlPr>
            </control>
          </mc:Choice>
        </mc:AlternateContent>
        <mc:AlternateContent xmlns:mc="http://schemas.openxmlformats.org/markup-compatibility/2006">
          <mc:Choice Requires="x14">
            <control shapeId="5273" r:id="rId96" name="Button 153">
              <controlPr defaultSize="0" print="0" autoFill="0" autoPict="0" macro="[0]!kopie7">
                <anchor moveWithCells="1" sizeWithCells="1">
                  <from>
                    <xdr:col>10</xdr:col>
                    <xdr:colOff>15240</xdr:colOff>
                    <xdr:row>293</xdr:row>
                    <xdr:rowOff>167640</xdr:rowOff>
                  </from>
                  <to>
                    <xdr:col>11</xdr:col>
                    <xdr:colOff>167640</xdr:colOff>
                    <xdr:row>294</xdr:row>
                    <xdr:rowOff>53340</xdr:rowOff>
                  </to>
                </anchor>
              </controlPr>
            </control>
          </mc:Choice>
        </mc:AlternateContent>
        <mc:AlternateContent xmlns:mc="http://schemas.openxmlformats.org/markup-compatibility/2006">
          <mc:Choice Requires="x14">
            <control shapeId="5274" r:id="rId97" name="Button 154">
              <controlPr defaultSize="0" print="0" autoFill="0" autoPict="0" macro="[0]!kopie8">
                <anchor moveWithCells="1" sizeWithCells="1">
                  <from>
                    <xdr:col>12</xdr:col>
                    <xdr:colOff>205740</xdr:colOff>
                    <xdr:row>293</xdr:row>
                    <xdr:rowOff>167640</xdr:rowOff>
                  </from>
                  <to>
                    <xdr:col>14</xdr:col>
                    <xdr:colOff>53340</xdr:colOff>
                    <xdr:row>294</xdr:row>
                    <xdr:rowOff>53340</xdr:rowOff>
                  </to>
                </anchor>
              </controlPr>
            </control>
          </mc:Choice>
        </mc:AlternateContent>
        <mc:AlternateContent xmlns:mc="http://schemas.openxmlformats.org/markup-compatibility/2006">
          <mc:Choice Requires="x14">
            <control shapeId="5275" r:id="rId98" name="Button 155">
              <controlPr defaultSize="0" print="0" autoFill="0" autoPict="0" macro="[0]!kopie9">
                <anchor moveWithCells="1" sizeWithCells="1">
                  <from>
                    <xdr:col>14</xdr:col>
                    <xdr:colOff>373380</xdr:colOff>
                    <xdr:row>293</xdr:row>
                    <xdr:rowOff>167640</xdr:rowOff>
                  </from>
                  <to>
                    <xdr:col>15</xdr:col>
                    <xdr:colOff>381000</xdr:colOff>
                    <xdr:row>294</xdr:row>
                    <xdr:rowOff>53340</xdr:rowOff>
                  </to>
                </anchor>
              </controlPr>
            </control>
          </mc:Choice>
        </mc:AlternateContent>
        <mc:AlternateContent xmlns:mc="http://schemas.openxmlformats.org/markup-compatibility/2006">
          <mc:Choice Requires="x14">
            <control shapeId="5276" r:id="rId99" name="Button 156">
              <controlPr defaultSize="0" print="0" autoFill="0" autoPict="0" macro="[0]!kopie10">
                <anchor moveWithCells="1" sizeWithCells="1">
                  <from>
                    <xdr:col>16</xdr:col>
                    <xdr:colOff>175260</xdr:colOff>
                    <xdr:row>293</xdr:row>
                    <xdr:rowOff>167640</xdr:rowOff>
                  </from>
                  <to>
                    <xdr:col>17</xdr:col>
                    <xdr:colOff>198120</xdr:colOff>
                    <xdr:row>294</xdr:row>
                    <xdr:rowOff>53340</xdr:rowOff>
                  </to>
                </anchor>
              </controlPr>
            </control>
          </mc:Choice>
        </mc:AlternateContent>
        <mc:AlternateContent xmlns:mc="http://schemas.openxmlformats.org/markup-compatibility/2006">
          <mc:Choice Requires="x14">
            <control shapeId="5277" r:id="rId100" name="Button 157">
              <controlPr defaultSize="0" print="0" autoFill="0" autoPict="0" macro="[0]!kopie11">
                <anchor moveWithCells="1" sizeWithCells="1">
                  <from>
                    <xdr:col>17</xdr:col>
                    <xdr:colOff>419100</xdr:colOff>
                    <xdr:row>293</xdr:row>
                    <xdr:rowOff>167640</xdr:rowOff>
                  </from>
                  <to>
                    <xdr:col>19</xdr:col>
                    <xdr:colOff>22860</xdr:colOff>
                    <xdr:row>294</xdr:row>
                    <xdr:rowOff>53340</xdr:rowOff>
                  </to>
                </anchor>
              </controlPr>
            </control>
          </mc:Choice>
        </mc:AlternateContent>
        <mc:AlternateContent xmlns:mc="http://schemas.openxmlformats.org/markup-compatibility/2006">
          <mc:Choice Requires="x14">
            <control shapeId="5278" r:id="rId101" name="Button 158">
              <controlPr defaultSize="0" print="0" autoFill="0" autoPict="0" macro="[0]!kopie12">
                <anchor moveWithCells="1" sizeWithCells="1">
                  <from>
                    <xdr:col>19</xdr:col>
                    <xdr:colOff>228600</xdr:colOff>
                    <xdr:row>293</xdr:row>
                    <xdr:rowOff>167640</xdr:rowOff>
                  </from>
                  <to>
                    <xdr:col>20</xdr:col>
                    <xdr:colOff>251460</xdr:colOff>
                    <xdr:row>294</xdr:row>
                    <xdr:rowOff>53340</xdr:rowOff>
                  </to>
                </anchor>
              </controlPr>
            </control>
          </mc:Choice>
        </mc:AlternateContent>
        <mc:AlternateContent xmlns:mc="http://schemas.openxmlformats.org/markup-compatibility/2006">
          <mc:Choice Requires="x14">
            <control shapeId="5302" r:id="rId102" name="Button 182">
              <controlPr defaultSize="0" print="0" autoFill="0" autoPict="0" macro="[0]!kopie4">
                <anchor moveWithCells="1" sizeWithCells="1">
                  <from>
                    <xdr:col>3</xdr:col>
                    <xdr:colOff>144780</xdr:colOff>
                    <xdr:row>368</xdr:row>
                    <xdr:rowOff>175260</xdr:rowOff>
                  </from>
                  <to>
                    <xdr:col>4</xdr:col>
                    <xdr:colOff>236220</xdr:colOff>
                    <xdr:row>369</xdr:row>
                    <xdr:rowOff>60960</xdr:rowOff>
                  </to>
                </anchor>
              </controlPr>
            </control>
          </mc:Choice>
        </mc:AlternateContent>
        <mc:AlternateContent xmlns:mc="http://schemas.openxmlformats.org/markup-compatibility/2006">
          <mc:Choice Requires="x14">
            <control shapeId="5303" r:id="rId103" name="Button 183">
              <controlPr defaultSize="0" print="0" autoFill="0" autoPict="0" macro="[0]!kopie5">
                <anchor moveWithCells="1" sizeWithCells="1">
                  <from>
                    <xdr:col>5</xdr:col>
                    <xdr:colOff>190500</xdr:colOff>
                    <xdr:row>368</xdr:row>
                    <xdr:rowOff>175260</xdr:rowOff>
                  </from>
                  <to>
                    <xdr:col>7</xdr:col>
                    <xdr:colOff>38100</xdr:colOff>
                    <xdr:row>369</xdr:row>
                    <xdr:rowOff>60960</xdr:rowOff>
                  </to>
                </anchor>
              </controlPr>
            </control>
          </mc:Choice>
        </mc:AlternateContent>
        <mc:AlternateContent xmlns:mc="http://schemas.openxmlformats.org/markup-compatibility/2006">
          <mc:Choice Requires="x14">
            <control shapeId="5304" r:id="rId104" name="Button 184">
              <controlPr defaultSize="0" print="0" autoFill="0" autoPict="0" macro="[0]!kopie6">
                <anchor moveWithCells="1" sizeWithCells="1">
                  <from>
                    <xdr:col>8</xdr:col>
                    <xdr:colOff>15240</xdr:colOff>
                    <xdr:row>368</xdr:row>
                    <xdr:rowOff>175260</xdr:rowOff>
                  </from>
                  <to>
                    <xdr:col>9</xdr:col>
                    <xdr:colOff>160020</xdr:colOff>
                    <xdr:row>369</xdr:row>
                    <xdr:rowOff>60960</xdr:rowOff>
                  </to>
                </anchor>
              </controlPr>
            </control>
          </mc:Choice>
        </mc:AlternateContent>
        <mc:AlternateContent xmlns:mc="http://schemas.openxmlformats.org/markup-compatibility/2006">
          <mc:Choice Requires="x14">
            <control shapeId="5305" r:id="rId105" name="Button 185">
              <controlPr defaultSize="0" print="0" autoFill="0" autoPict="0" macro="[0]!kopie7">
                <anchor moveWithCells="1" sizeWithCells="1">
                  <from>
                    <xdr:col>10</xdr:col>
                    <xdr:colOff>106680</xdr:colOff>
                    <xdr:row>368</xdr:row>
                    <xdr:rowOff>175260</xdr:rowOff>
                  </from>
                  <to>
                    <xdr:col>11</xdr:col>
                    <xdr:colOff>259080</xdr:colOff>
                    <xdr:row>369</xdr:row>
                    <xdr:rowOff>60960</xdr:rowOff>
                  </to>
                </anchor>
              </controlPr>
            </control>
          </mc:Choice>
        </mc:AlternateContent>
        <mc:AlternateContent xmlns:mc="http://schemas.openxmlformats.org/markup-compatibility/2006">
          <mc:Choice Requires="x14">
            <control shapeId="5306" r:id="rId106" name="Button 186">
              <controlPr defaultSize="0" print="0" autoFill="0" autoPict="0" macro="[0]!kopie8">
                <anchor moveWithCells="1" sizeWithCells="1">
                  <from>
                    <xdr:col>13</xdr:col>
                    <xdr:colOff>7620</xdr:colOff>
                    <xdr:row>368</xdr:row>
                    <xdr:rowOff>175260</xdr:rowOff>
                  </from>
                  <to>
                    <xdr:col>14</xdr:col>
                    <xdr:colOff>152400</xdr:colOff>
                    <xdr:row>369</xdr:row>
                    <xdr:rowOff>60960</xdr:rowOff>
                  </to>
                </anchor>
              </controlPr>
            </control>
          </mc:Choice>
        </mc:AlternateContent>
        <mc:AlternateContent xmlns:mc="http://schemas.openxmlformats.org/markup-compatibility/2006">
          <mc:Choice Requires="x14">
            <control shapeId="5307" r:id="rId107" name="Button 187">
              <controlPr defaultSize="0" print="0" autoFill="0" autoPict="0" macro="[0]!kopie9">
                <anchor moveWithCells="1" sizeWithCells="1">
                  <from>
                    <xdr:col>15</xdr:col>
                    <xdr:colOff>38100</xdr:colOff>
                    <xdr:row>368</xdr:row>
                    <xdr:rowOff>175260</xdr:rowOff>
                  </from>
                  <to>
                    <xdr:col>16</xdr:col>
                    <xdr:colOff>53340</xdr:colOff>
                    <xdr:row>369</xdr:row>
                    <xdr:rowOff>60960</xdr:rowOff>
                  </to>
                </anchor>
              </controlPr>
            </control>
          </mc:Choice>
        </mc:AlternateContent>
        <mc:AlternateContent xmlns:mc="http://schemas.openxmlformats.org/markup-compatibility/2006">
          <mc:Choice Requires="x14">
            <control shapeId="5308" r:id="rId108" name="Button 188">
              <controlPr defaultSize="0" print="0" autoFill="0" autoPict="0" macro="[0]!kopie10">
                <anchor moveWithCells="1" sizeWithCells="1">
                  <from>
                    <xdr:col>16</xdr:col>
                    <xdr:colOff>274320</xdr:colOff>
                    <xdr:row>368</xdr:row>
                    <xdr:rowOff>175260</xdr:rowOff>
                  </from>
                  <to>
                    <xdr:col>17</xdr:col>
                    <xdr:colOff>289560</xdr:colOff>
                    <xdr:row>369</xdr:row>
                    <xdr:rowOff>60960</xdr:rowOff>
                  </to>
                </anchor>
              </controlPr>
            </control>
          </mc:Choice>
        </mc:AlternateContent>
        <mc:AlternateContent xmlns:mc="http://schemas.openxmlformats.org/markup-compatibility/2006">
          <mc:Choice Requires="x14">
            <control shapeId="5309" r:id="rId109" name="Button 189">
              <controlPr defaultSize="0" print="0" autoFill="0" autoPict="0" macro="[0]!kopie11">
                <anchor moveWithCells="1" sizeWithCells="1">
                  <from>
                    <xdr:col>18</xdr:col>
                    <xdr:colOff>91440</xdr:colOff>
                    <xdr:row>368</xdr:row>
                    <xdr:rowOff>175260</xdr:rowOff>
                  </from>
                  <to>
                    <xdr:col>19</xdr:col>
                    <xdr:colOff>114300</xdr:colOff>
                    <xdr:row>369</xdr:row>
                    <xdr:rowOff>60960</xdr:rowOff>
                  </to>
                </anchor>
              </controlPr>
            </control>
          </mc:Choice>
        </mc:AlternateContent>
        <mc:AlternateContent xmlns:mc="http://schemas.openxmlformats.org/markup-compatibility/2006">
          <mc:Choice Requires="x14">
            <control shapeId="5310" r:id="rId110" name="Button 190">
              <controlPr defaultSize="0" print="0" autoFill="0" autoPict="0" macro="[0]!kopie12">
                <anchor moveWithCells="1" sizeWithCells="1">
                  <from>
                    <xdr:col>19</xdr:col>
                    <xdr:colOff>320040</xdr:colOff>
                    <xdr:row>368</xdr:row>
                    <xdr:rowOff>175260</xdr:rowOff>
                  </from>
                  <to>
                    <xdr:col>20</xdr:col>
                    <xdr:colOff>342900</xdr:colOff>
                    <xdr:row>369</xdr:row>
                    <xdr:rowOff>60960</xdr:rowOff>
                  </to>
                </anchor>
              </controlPr>
            </control>
          </mc:Choice>
        </mc:AlternateContent>
        <mc:AlternateContent xmlns:mc="http://schemas.openxmlformats.org/markup-compatibility/2006">
          <mc:Choice Requires="x14">
            <control shapeId="5312" r:id="rId111" name="Button 192">
              <controlPr defaultSize="0" print="0" autoFill="0" autoPict="0" macro="[0]!kopie4">
                <anchor moveWithCells="1" sizeWithCells="1">
                  <from>
                    <xdr:col>3</xdr:col>
                    <xdr:colOff>99060</xdr:colOff>
                    <xdr:row>393</xdr:row>
                    <xdr:rowOff>144780</xdr:rowOff>
                  </from>
                  <to>
                    <xdr:col>4</xdr:col>
                    <xdr:colOff>190500</xdr:colOff>
                    <xdr:row>394</xdr:row>
                    <xdr:rowOff>38100</xdr:rowOff>
                  </to>
                </anchor>
              </controlPr>
            </control>
          </mc:Choice>
        </mc:AlternateContent>
        <mc:AlternateContent xmlns:mc="http://schemas.openxmlformats.org/markup-compatibility/2006">
          <mc:Choice Requires="x14">
            <control shapeId="5313" r:id="rId112" name="Button 193">
              <controlPr defaultSize="0" print="0" autoFill="0" autoPict="0" macro="[0]!kopie5">
                <anchor moveWithCells="1" sizeWithCells="1">
                  <from>
                    <xdr:col>5</xdr:col>
                    <xdr:colOff>152400</xdr:colOff>
                    <xdr:row>393</xdr:row>
                    <xdr:rowOff>144780</xdr:rowOff>
                  </from>
                  <to>
                    <xdr:col>6</xdr:col>
                    <xdr:colOff>289560</xdr:colOff>
                    <xdr:row>394</xdr:row>
                    <xdr:rowOff>38100</xdr:rowOff>
                  </to>
                </anchor>
              </controlPr>
            </control>
          </mc:Choice>
        </mc:AlternateContent>
        <mc:AlternateContent xmlns:mc="http://schemas.openxmlformats.org/markup-compatibility/2006">
          <mc:Choice Requires="x14">
            <control shapeId="5314" r:id="rId113" name="Button 194">
              <controlPr defaultSize="0" print="0" autoFill="0" autoPict="0" macro="[0]!kopie6">
                <anchor moveWithCells="1" sizeWithCells="1">
                  <from>
                    <xdr:col>7</xdr:col>
                    <xdr:colOff>266700</xdr:colOff>
                    <xdr:row>393</xdr:row>
                    <xdr:rowOff>144780</xdr:rowOff>
                  </from>
                  <to>
                    <xdr:col>9</xdr:col>
                    <xdr:colOff>114300</xdr:colOff>
                    <xdr:row>394</xdr:row>
                    <xdr:rowOff>38100</xdr:rowOff>
                  </to>
                </anchor>
              </controlPr>
            </control>
          </mc:Choice>
        </mc:AlternateContent>
        <mc:AlternateContent xmlns:mc="http://schemas.openxmlformats.org/markup-compatibility/2006">
          <mc:Choice Requires="x14">
            <control shapeId="5315" r:id="rId114" name="Button 195">
              <controlPr defaultSize="0" print="0" autoFill="0" autoPict="0" macro="[0]!kopie7">
                <anchor moveWithCells="1" sizeWithCells="1">
                  <from>
                    <xdr:col>10</xdr:col>
                    <xdr:colOff>68580</xdr:colOff>
                    <xdr:row>393</xdr:row>
                    <xdr:rowOff>144780</xdr:rowOff>
                  </from>
                  <to>
                    <xdr:col>11</xdr:col>
                    <xdr:colOff>213360</xdr:colOff>
                    <xdr:row>394</xdr:row>
                    <xdr:rowOff>38100</xdr:rowOff>
                  </to>
                </anchor>
              </controlPr>
            </control>
          </mc:Choice>
        </mc:AlternateContent>
        <mc:AlternateContent xmlns:mc="http://schemas.openxmlformats.org/markup-compatibility/2006">
          <mc:Choice Requires="x14">
            <control shapeId="5316" r:id="rId115" name="Button 196">
              <controlPr defaultSize="0" print="0" autoFill="0" autoPict="0" macro="[0]!kopie8">
                <anchor moveWithCells="1" sizeWithCells="1">
                  <from>
                    <xdr:col>12</xdr:col>
                    <xdr:colOff>259080</xdr:colOff>
                    <xdr:row>393</xdr:row>
                    <xdr:rowOff>144780</xdr:rowOff>
                  </from>
                  <to>
                    <xdr:col>14</xdr:col>
                    <xdr:colOff>106680</xdr:colOff>
                    <xdr:row>394</xdr:row>
                    <xdr:rowOff>38100</xdr:rowOff>
                  </to>
                </anchor>
              </controlPr>
            </control>
          </mc:Choice>
        </mc:AlternateContent>
        <mc:AlternateContent xmlns:mc="http://schemas.openxmlformats.org/markup-compatibility/2006">
          <mc:Choice Requires="x14">
            <control shapeId="5317" r:id="rId116" name="Button 197">
              <controlPr defaultSize="0" print="0" autoFill="0" autoPict="0" macro="[0]!kopie9">
                <anchor moveWithCells="1" sizeWithCells="1">
                  <from>
                    <xdr:col>14</xdr:col>
                    <xdr:colOff>419100</xdr:colOff>
                    <xdr:row>393</xdr:row>
                    <xdr:rowOff>144780</xdr:rowOff>
                  </from>
                  <to>
                    <xdr:col>16</xdr:col>
                    <xdr:colOff>7620</xdr:colOff>
                    <xdr:row>394</xdr:row>
                    <xdr:rowOff>38100</xdr:rowOff>
                  </to>
                </anchor>
              </controlPr>
            </control>
          </mc:Choice>
        </mc:AlternateContent>
        <mc:AlternateContent xmlns:mc="http://schemas.openxmlformats.org/markup-compatibility/2006">
          <mc:Choice Requires="x14">
            <control shapeId="5318" r:id="rId117" name="Button 198">
              <controlPr defaultSize="0" print="0" autoFill="0" autoPict="0" macro="[0]!kopie10">
                <anchor moveWithCells="1" sizeWithCells="1">
                  <from>
                    <xdr:col>16</xdr:col>
                    <xdr:colOff>228600</xdr:colOff>
                    <xdr:row>393</xdr:row>
                    <xdr:rowOff>144780</xdr:rowOff>
                  </from>
                  <to>
                    <xdr:col>17</xdr:col>
                    <xdr:colOff>243840</xdr:colOff>
                    <xdr:row>394</xdr:row>
                    <xdr:rowOff>38100</xdr:rowOff>
                  </to>
                </anchor>
              </controlPr>
            </control>
          </mc:Choice>
        </mc:AlternateContent>
        <mc:AlternateContent xmlns:mc="http://schemas.openxmlformats.org/markup-compatibility/2006">
          <mc:Choice Requires="x14">
            <control shapeId="5319" r:id="rId118" name="Button 199">
              <controlPr defaultSize="0" print="0" autoFill="0" autoPict="0" macro="[0]!kopie11">
                <anchor moveWithCells="1" sizeWithCells="1">
                  <from>
                    <xdr:col>18</xdr:col>
                    <xdr:colOff>45720</xdr:colOff>
                    <xdr:row>393</xdr:row>
                    <xdr:rowOff>144780</xdr:rowOff>
                  </from>
                  <to>
                    <xdr:col>19</xdr:col>
                    <xdr:colOff>68580</xdr:colOff>
                    <xdr:row>394</xdr:row>
                    <xdr:rowOff>38100</xdr:rowOff>
                  </to>
                </anchor>
              </controlPr>
            </control>
          </mc:Choice>
        </mc:AlternateContent>
        <mc:AlternateContent xmlns:mc="http://schemas.openxmlformats.org/markup-compatibility/2006">
          <mc:Choice Requires="x14">
            <control shapeId="5320" r:id="rId119" name="Button 200">
              <controlPr defaultSize="0" print="0" autoFill="0" autoPict="0" macro="[0]!kopie12">
                <anchor moveWithCells="1" sizeWithCells="1">
                  <from>
                    <xdr:col>19</xdr:col>
                    <xdr:colOff>281940</xdr:colOff>
                    <xdr:row>393</xdr:row>
                    <xdr:rowOff>144780</xdr:rowOff>
                  </from>
                  <to>
                    <xdr:col>20</xdr:col>
                    <xdr:colOff>297180</xdr:colOff>
                    <xdr:row>394</xdr:row>
                    <xdr:rowOff>38100</xdr:rowOff>
                  </to>
                </anchor>
              </controlPr>
            </control>
          </mc:Choice>
        </mc:AlternateContent>
        <mc:AlternateContent xmlns:mc="http://schemas.openxmlformats.org/markup-compatibility/2006">
          <mc:Choice Requires="x14">
            <control shapeId="5322" r:id="rId120" name="Button 202">
              <controlPr defaultSize="0" print="0" autoFill="0" autoPict="0" macro="[0]!kopie4">
                <anchor moveWithCells="1" sizeWithCells="1">
                  <from>
                    <xdr:col>2</xdr:col>
                    <xdr:colOff>327660</xdr:colOff>
                    <xdr:row>418</xdr:row>
                    <xdr:rowOff>205740</xdr:rowOff>
                  </from>
                  <to>
                    <xdr:col>4</xdr:col>
                    <xdr:colOff>76200</xdr:colOff>
                    <xdr:row>419</xdr:row>
                    <xdr:rowOff>106680</xdr:rowOff>
                  </to>
                </anchor>
              </controlPr>
            </control>
          </mc:Choice>
        </mc:AlternateContent>
        <mc:AlternateContent xmlns:mc="http://schemas.openxmlformats.org/markup-compatibility/2006">
          <mc:Choice Requires="x14">
            <control shapeId="5323" r:id="rId121" name="Button 203">
              <controlPr defaultSize="0" print="0" autoFill="0" autoPict="0" macro="[0]!kopie5">
                <anchor moveWithCells="1" sizeWithCells="1">
                  <from>
                    <xdr:col>5</xdr:col>
                    <xdr:colOff>38100</xdr:colOff>
                    <xdr:row>418</xdr:row>
                    <xdr:rowOff>205740</xdr:rowOff>
                  </from>
                  <to>
                    <xdr:col>6</xdr:col>
                    <xdr:colOff>175260</xdr:colOff>
                    <xdr:row>419</xdr:row>
                    <xdr:rowOff>106680</xdr:rowOff>
                  </to>
                </anchor>
              </controlPr>
            </control>
          </mc:Choice>
        </mc:AlternateContent>
        <mc:AlternateContent xmlns:mc="http://schemas.openxmlformats.org/markup-compatibility/2006">
          <mc:Choice Requires="x14">
            <control shapeId="5324" r:id="rId122" name="Button 204">
              <controlPr defaultSize="0" print="0" autoFill="0" autoPict="0" macro="[0]!kopie6">
                <anchor moveWithCells="1" sizeWithCells="1">
                  <from>
                    <xdr:col>7</xdr:col>
                    <xdr:colOff>152400</xdr:colOff>
                    <xdr:row>418</xdr:row>
                    <xdr:rowOff>205740</xdr:rowOff>
                  </from>
                  <to>
                    <xdr:col>9</xdr:col>
                    <xdr:colOff>7620</xdr:colOff>
                    <xdr:row>419</xdr:row>
                    <xdr:rowOff>106680</xdr:rowOff>
                  </to>
                </anchor>
              </controlPr>
            </control>
          </mc:Choice>
        </mc:AlternateContent>
        <mc:AlternateContent xmlns:mc="http://schemas.openxmlformats.org/markup-compatibility/2006">
          <mc:Choice Requires="x14">
            <control shapeId="5325" r:id="rId123" name="Button 205">
              <controlPr defaultSize="0" print="0" autoFill="0" autoPict="0" macro="[0]!kopie7">
                <anchor moveWithCells="1" sizeWithCells="1">
                  <from>
                    <xdr:col>9</xdr:col>
                    <xdr:colOff>251460</xdr:colOff>
                    <xdr:row>418</xdr:row>
                    <xdr:rowOff>205740</xdr:rowOff>
                  </from>
                  <to>
                    <xdr:col>11</xdr:col>
                    <xdr:colOff>106680</xdr:colOff>
                    <xdr:row>419</xdr:row>
                    <xdr:rowOff>106680</xdr:rowOff>
                  </to>
                </anchor>
              </controlPr>
            </control>
          </mc:Choice>
        </mc:AlternateContent>
        <mc:AlternateContent xmlns:mc="http://schemas.openxmlformats.org/markup-compatibility/2006">
          <mc:Choice Requires="x14">
            <control shapeId="5326" r:id="rId124" name="Button 206">
              <controlPr defaultSize="0" print="0" autoFill="0" autoPict="0" macro="[0]!kopie8">
                <anchor moveWithCells="1" sizeWithCells="1">
                  <from>
                    <xdr:col>12</xdr:col>
                    <xdr:colOff>144780</xdr:colOff>
                    <xdr:row>418</xdr:row>
                    <xdr:rowOff>205740</xdr:rowOff>
                  </from>
                  <to>
                    <xdr:col>13</xdr:col>
                    <xdr:colOff>289560</xdr:colOff>
                    <xdr:row>419</xdr:row>
                    <xdr:rowOff>106680</xdr:rowOff>
                  </to>
                </anchor>
              </controlPr>
            </control>
          </mc:Choice>
        </mc:AlternateContent>
        <mc:AlternateContent xmlns:mc="http://schemas.openxmlformats.org/markup-compatibility/2006">
          <mc:Choice Requires="x14">
            <control shapeId="5327" r:id="rId125" name="Button 207">
              <controlPr defaultSize="0" print="0" autoFill="0" autoPict="0" macro="[0]!kopie9">
                <anchor moveWithCells="1" sizeWithCells="1">
                  <from>
                    <xdr:col>14</xdr:col>
                    <xdr:colOff>304800</xdr:colOff>
                    <xdr:row>418</xdr:row>
                    <xdr:rowOff>205740</xdr:rowOff>
                  </from>
                  <to>
                    <xdr:col>15</xdr:col>
                    <xdr:colOff>320040</xdr:colOff>
                    <xdr:row>419</xdr:row>
                    <xdr:rowOff>106680</xdr:rowOff>
                  </to>
                </anchor>
              </controlPr>
            </control>
          </mc:Choice>
        </mc:AlternateContent>
        <mc:AlternateContent xmlns:mc="http://schemas.openxmlformats.org/markup-compatibility/2006">
          <mc:Choice Requires="x14">
            <control shapeId="5328" r:id="rId126" name="Button 208">
              <controlPr defaultSize="0" print="0" autoFill="0" autoPict="0" macro="[0]!kopie10">
                <anchor moveWithCells="1" sizeWithCells="1">
                  <from>
                    <xdr:col>16</xdr:col>
                    <xdr:colOff>114300</xdr:colOff>
                    <xdr:row>418</xdr:row>
                    <xdr:rowOff>205740</xdr:rowOff>
                  </from>
                  <to>
                    <xdr:col>17</xdr:col>
                    <xdr:colOff>137160</xdr:colOff>
                    <xdr:row>419</xdr:row>
                    <xdr:rowOff>106680</xdr:rowOff>
                  </to>
                </anchor>
              </controlPr>
            </control>
          </mc:Choice>
        </mc:AlternateContent>
        <mc:AlternateContent xmlns:mc="http://schemas.openxmlformats.org/markup-compatibility/2006">
          <mc:Choice Requires="x14">
            <control shapeId="5329" r:id="rId127" name="Button 209">
              <controlPr defaultSize="0" print="0" autoFill="0" autoPict="0" macro="[0]!kopie11">
                <anchor moveWithCells="1" sizeWithCells="1">
                  <from>
                    <xdr:col>17</xdr:col>
                    <xdr:colOff>358140</xdr:colOff>
                    <xdr:row>418</xdr:row>
                    <xdr:rowOff>205740</xdr:rowOff>
                  </from>
                  <to>
                    <xdr:col>18</xdr:col>
                    <xdr:colOff>381000</xdr:colOff>
                    <xdr:row>419</xdr:row>
                    <xdr:rowOff>106680</xdr:rowOff>
                  </to>
                </anchor>
              </controlPr>
            </control>
          </mc:Choice>
        </mc:AlternateContent>
        <mc:AlternateContent xmlns:mc="http://schemas.openxmlformats.org/markup-compatibility/2006">
          <mc:Choice Requires="x14">
            <control shapeId="5330" r:id="rId128" name="Button 210">
              <controlPr defaultSize="0" print="0" autoFill="0" autoPict="0" macro="[0]!kopie12">
                <anchor moveWithCells="1" sizeWithCells="1">
                  <from>
                    <xdr:col>19</xdr:col>
                    <xdr:colOff>167640</xdr:colOff>
                    <xdr:row>418</xdr:row>
                    <xdr:rowOff>205740</xdr:rowOff>
                  </from>
                  <to>
                    <xdr:col>20</xdr:col>
                    <xdr:colOff>190500</xdr:colOff>
                    <xdr:row>419</xdr:row>
                    <xdr:rowOff>106680</xdr:rowOff>
                  </to>
                </anchor>
              </controlPr>
            </control>
          </mc:Choice>
        </mc:AlternateContent>
        <mc:AlternateContent xmlns:mc="http://schemas.openxmlformats.org/markup-compatibility/2006">
          <mc:Choice Requires="x14">
            <control shapeId="5332" r:id="rId129" name="Button 212">
              <controlPr defaultSize="0" print="0" autoFill="0" autoPict="0" macro="[0]!kopie4">
                <anchor moveWithCells="1" sizeWithCells="1">
                  <from>
                    <xdr:col>2</xdr:col>
                    <xdr:colOff>281940</xdr:colOff>
                    <xdr:row>443</xdr:row>
                    <xdr:rowOff>160020</xdr:rowOff>
                  </from>
                  <to>
                    <xdr:col>4</xdr:col>
                    <xdr:colOff>30480</xdr:colOff>
                    <xdr:row>444</xdr:row>
                    <xdr:rowOff>53340</xdr:rowOff>
                  </to>
                </anchor>
              </controlPr>
            </control>
          </mc:Choice>
        </mc:AlternateContent>
        <mc:AlternateContent xmlns:mc="http://schemas.openxmlformats.org/markup-compatibility/2006">
          <mc:Choice Requires="x14">
            <control shapeId="5333" r:id="rId130" name="Button 213">
              <controlPr defaultSize="0" print="0" autoFill="0" autoPict="0" macro="[0]!kopie5">
                <anchor moveWithCells="1" sizeWithCells="1">
                  <from>
                    <xdr:col>4</xdr:col>
                    <xdr:colOff>281940</xdr:colOff>
                    <xdr:row>443</xdr:row>
                    <xdr:rowOff>160020</xdr:rowOff>
                  </from>
                  <to>
                    <xdr:col>6</xdr:col>
                    <xdr:colOff>129540</xdr:colOff>
                    <xdr:row>444</xdr:row>
                    <xdr:rowOff>53340</xdr:rowOff>
                  </to>
                </anchor>
              </controlPr>
            </control>
          </mc:Choice>
        </mc:AlternateContent>
        <mc:AlternateContent xmlns:mc="http://schemas.openxmlformats.org/markup-compatibility/2006">
          <mc:Choice Requires="x14">
            <control shapeId="5334" r:id="rId131" name="Button 214">
              <controlPr defaultSize="0" print="0" autoFill="0" autoPict="0" macro="[0]!kopie6">
                <anchor moveWithCells="1" sizeWithCells="1">
                  <from>
                    <xdr:col>7</xdr:col>
                    <xdr:colOff>106680</xdr:colOff>
                    <xdr:row>443</xdr:row>
                    <xdr:rowOff>160020</xdr:rowOff>
                  </from>
                  <to>
                    <xdr:col>8</xdr:col>
                    <xdr:colOff>251460</xdr:colOff>
                    <xdr:row>444</xdr:row>
                    <xdr:rowOff>53340</xdr:rowOff>
                  </to>
                </anchor>
              </controlPr>
            </control>
          </mc:Choice>
        </mc:AlternateContent>
        <mc:AlternateContent xmlns:mc="http://schemas.openxmlformats.org/markup-compatibility/2006">
          <mc:Choice Requires="x14">
            <control shapeId="5335" r:id="rId132" name="Button 215">
              <controlPr defaultSize="0" print="0" autoFill="0" autoPict="0" macro="[0]!kopie7">
                <anchor moveWithCells="1" sizeWithCells="1">
                  <from>
                    <xdr:col>9</xdr:col>
                    <xdr:colOff>198120</xdr:colOff>
                    <xdr:row>443</xdr:row>
                    <xdr:rowOff>160020</xdr:rowOff>
                  </from>
                  <to>
                    <xdr:col>11</xdr:col>
                    <xdr:colOff>53340</xdr:colOff>
                    <xdr:row>444</xdr:row>
                    <xdr:rowOff>53340</xdr:rowOff>
                  </to>
                </anchor>
              </controlPr>
            </control>
          </mc:Choice>
        </mc:AlternateContent>
        <mc:AlternateContent xmlns:mc="http://schemas.openxmlformats.org/markup-compatibility/2006">
          <mc:Choice Requires="x14">
            <control shapeId="5336" r:id="rId133" name="Button 216">
              <controlPr defaultSize="0" print="0" autoFill="0" autoPict="0" macro="[0]!kopie8">
                <anchor moveWithCells="1" sizeWithCells="1">
                  <from>
                    <xdr:col>12</xdr:col>
                    <xdr:colOff>99060</xdr:colOff>
                    <xdr:row>443</xdr:row>
                    <xdr:rowOff>160020</xdr:rowOff>
                  </from>
                  <to>
                    <xdr:col>13</xdr:col>
                    <xdr:colOff>236220</xdr:colOff>
                    <xdr:row>444</xdr:row>
                    <xdr:rowOff>53340</xdr:rowOff>
                  </to>
                </anchor>
              </controlPr>
            </control>
          </mc:Choice>
        </mc:AlternateContent>
        <mc:AlternateContent xmlns:mc="http://schemas.openxmlformats.org/markup-compatibility/2006">
          <mc:Choice Requires="x14">
            <control shapeId="5337" r:id="rId134" name="Button 217">
              <controlPr defaultSize="0" print="0" autoFill="0" autoPict="0" macro="[0]!kopie9">
                <anchor moveWithCells="1" sizeWithCells="1">
                  <from>
                    <xdr:col>14</xdr:col>
                    <xdr:colOff>259080</xdr:colOff>
                    <xdr:row>443</xdr:row>
                    <xdr:rowOff>160020</xdr:rowOff>
                  </from>
                  <to>
                    <xdr:col>15</xdr:col>
                    <xdr:colOff>274320</xdr:colOff>
                    <xdr:row>444</xdr:row>
                    <xdr:rowOff>53340</xdr:rowOff>
                  </to>
                </anchor>
              </controlPr>
            </control>
          </mc:Choice>
        </mc:AlternateContent>
        <mc:AlternateContent xmlns:mc="http://schemas.openxmlformats.org/markup-compatibility/2006">
          <mc:Choice Requires="x14">
            <control shapeId="5338" r:id="rId135" name="Button 218">
              <controlPr defaultSize="0" print="0" autoFill="0" autoPict="0" macro="[0]!kopie10">
                <anchor moveWithCells="1" sizeWithCells="1">
                  <from>
                    <xdr:col>16</xdr:col>
                    <xdr:colOff>68580</xdr:colOff>
                    <xdr:row>443</xdr:row>
                    <xdr:rowOff>160020</xdr:rowOff>
                  </from>
                  <to>
                    <xdr:col>17</xdr:col>
                    <xdr:colOff>83820</xdr:colOff>
                    <xdr:row>444</xdr:row>
                    <xdr:rowOff>53340</xdr:rowOff>
                  </to>
                </anchor>
              </controlPr>
            </control>
          </mc:Choice>
        </mc:AlternateContent>
        <mc:AlternateContent xmlns:mc="http://schemas.openxmlformats.org/markup-compatibility/2006">
          <mc:Choice Requires="x14">
            <control shapeId="5339" r:id="rId136" name="Button 219">
              <controlPr defaultSize="0" print="0" autoFill="0" autoPict="0" macro="[0]!kopie11">
                <anchor moveWithCells="1" sizeWithCells="1">
                  <from>
                    <xdr:col>17</xdr:col>
                    <xdr:colOff>304800</xdr:colOff>
                    <xdr:row>443</xdr:row>
                    <xdr:rowOff>160020</xdr:rowOff>
                  </from>
                  <to>
                    <xdr:col>18</xdr:col>
                    <xdr:colOff>335280</xdr:colOff>
                    <xdr:row>444</xdr:row>
                    <xdr:rowOff>53340</xdr:rowOff>
                  </to>
                </anchor>
              </controlPr>
            </control>
          </mc:Choice>
        </mc:AlternateContent>
        <mc:AlternateContent xmlns:mc="http://schemas.openxmlformats.org/markup-compatibility/2006">
          <mc:Choice Requires="x14">
            <control shapeId="5340" r:id="rId137" name="Button 220">
              <controlPr defaultSize="0" print="0" autoFill="0" autoPict="0" macro="[0]!kopie12">
                <anchor moveWithCells="1" sizeWithCells="1">
                  <from>
                    <xdr:col>19</xdr:col>
                    <xdr:colOff>121920</xdr:colOff>
                    <xdr:row>443</xdr:row>
                    <xdr:rowOff>160020</xdr:rowOff>
                  </from>
                  <to>
                    <xdr:col>20</xdr:col>
                    <xdr:colOff>137160</xdr:colOff>
                    <xdr:row>444</xdr:row>
                    <xdr:rowOff>53340</xdr:rowOff>
                  </to>
                </anchor>
              </controlPr>
            </control>
          </mc:Choice>
        </mc:AlternateContent>
        <mc:AlternateContent xmlns:mc="http://schemas.openxmlformats.org/markup-compatibility/2006">
          <mc:Choice Requires="x14">
            <control shapeId="5342" r:id="rId138" name="Button 222">
              <controlPr defaultSize="0" print="0" autoFill="0" autoPict="0" macro="[0]!kopie4">
                <anchor moveWithCells="1" sizeWithCells="1">
                  <from>
                    <xdr:col>3</xdr:col>
                    <xdr:colOff>167640</xdr:colOff>
                    <xdr:row>468</xdr:row>
                    <xdr:rowOff>114300</xdr:rowOff>
                  </from>
                  <to>
                    <xdr:col>4</xdr:col>
                    <xdr:colOff>259080</xdr:colOff>
                    <xdr:row>469</xdr:row>
                    <xdr:rowOff>7620</xdr:rowOff>
                  </to>
                </anchor>
              </controlPr>
            </control>
          </mc:Choice>
        </mc:AlternateContent>
        <mc:AlternateContent xmlns:mc="http://schemas.openxmlformats.org/markup-compatibility/2006">
          <mc:Choice Requires="x14">
            <control shapeId="5343" r:id="rId139" name="Button 223">
              <controlPr defaultSize="0" print="0" autoFill="0" autoPict="0" macro="[0]!kopie5">
                <anchor moveWithCells="1" sizeWithCells="1">
                  <from>
                    <xdr:col>5</xdr:col>
                    <xdr:colOff>220980</xdr:colOff>
                    <xdr:row>468</xdr:row>
                    <xdr:rowOff>114300</xdr:rowOff>
                  </from>
                  <to>
                    <xdr:col>7</xdr:col>
                    <xdr:colOff>60960</xdr:colOff>
                    <xdr:row>469</xdr:row>
                    <xdr:rowOff>7620</xdr:rowOff>
                  </to>
                </anchor>
              </controlPr>
            </control>
          </mc:Choice>
        </mc:AlternateContent>
        <mc:AlternateContent xmlns:mc="http://schemas.openxmlformats.org/markup-compatibility/2006">
          <mc:Choice Requires="x14">
            <control shapeId="5344" r:id="rId140" name="Button 224">
              <controlPr defaultSize="0" print="0" autoFill="0" autoPict="0" macro="[0]!kopie6">
                <anchor moveWithCells="1" sizeWithCells="1">
                  <from>
                    <xdr:col>8</xdr:col>
                    <xdr:colOff>38100</xdr:colOff>
                    <xdr:row>468</xdr:row>
                    <xdr:rowOff>114300</xdr:rowOff>
                  </from>
                  <to>
                    <xdr:col>9</xdr:col>
                    <xdr:colOff>182880</xdr:colOff>
                    <xdr:row>469</xdr:row>
                    <xdr:rowOff>7620</xdr:rowOff>
                  </to>
                </anchor>
              </controlPr>
            </control>
          </mc:Choice>
        </mc:AlternateContent>
        <mc:AlternateContent xmlns:mc="http://schemas.openxmlformats.org/markup-compatibility/2006">
          <mc:Choice Requires="x14">
            <control shapeId="5345" r:id="rId141" name="Button 225">
              <controlPr defaultSize="0" print="0" autoFill="0" autoPict="0" macro="[0]!kopie7">
                <anchor moveWithCells="1" sizeWithCells="1">
                  <from>
                    <xdr:col>10</xdr:col>
                    <xdr:colOff>137160</xdr:colOff>
                    <xdr:row>468</xdr:row>
                    <xdr:rowOff>114300</xdr:rowOff>
                  </from>
                  <to>
                    <xdr:col>11</xdr:col>
                    <xdr:colOff>281940</xdr:colOff>
                    <xdr:row>469</xdr:row>
                    <xdr:rowOff>7620</xdr:rowOff>
                  </to>
                </anchor>
              </controlPr>
            </control>
          </mc:Choice>
        </mc:AlternateContent>
        <mc:AlternateContent xmlns:mc="http://schemas.openxmlformats.org/markup-compatibility/2006">
          <mc:Choice Requires="x14">
            <control shapeId="5346" r:id="rId142" name="Button 226">
              <controlPr defaultSize="0" print="0" autoFill="0" autoPict="0" macro="[0]!kopie8">
                <anchor moveWithCells="1" sizeWithCells="1">
                  <from>
                    <xdr:col>13</xdr:col>
                    <xdr:colOff>30480</xdr:colOff>
                    <xdr:row>468</xdr:row>
                    <xdr:rowOff>114300</xdr:rowOff>
                  </from>
                  <to>
                    <xdr:col>14</xdr:col>
                    <xdr:colOff>175260</xdr:colOff>
                    <xdr:row>469</xdr:row>
                    <xdr:rowOff>7620</xdr:rowOff>
                  </to>
                </anchor>
              </controlPr>
            </control>
          </mc:Choice>
        </mc:AlternateContent>
        <mc:AlternateContent xmlns:mc="http://schemas.openxmlformats.org/markup-compatibility/2006">
          <mc:Choice Requires="x14">
            <control shapeId="5347" r:id="rId143" name="Button 227">
              <controlPr defaultSize="0" print="0" autoFill="0" autoPict="0" macro="[0]!kopie9">
                <anchor moveWithCells="1" sizeWithCells="1">
                  <from>
                    <xdr:col>15</xdr:col>
                    <xdr:colOff>68580</xdr:colOff>
                    <xdr:row>468</xdr:row>
                    <xdr:rowOff>114300</xdr:rowOff>
                  </from>
                  <to>
                    <xdr:col>16</xdr:col>
                    <xdr:colOff>76200</xdr:colOff>
                    <xdr:row>469</xdr:row>
                    <xdr:rowOff>7620</xdr:rowOff>
                  </to>
                </anchor>
              </controlPr>
            </control>
          </mc:Choice>
        </mc:AlternateContent>
        <mc:AlternateContent xmlns:mc="http://schemas.openxmlformats.org/markup-compatibility/2006">
          <mc:Choice Requires="x14">
            <control shapeId="5348" r:id="rId144" name="Button 228">
              <controlPr defaultSize="0" print="0" autoFill="0" autoPict="0" macro="[0]!kopie10">
                <anchor moveWithCells="1" sizeWithCells="1">
                  <from>
                    <xdr:col>16</xdr:col>
                    <xdr:colOff>297180</xdr:colOff>
                    <xdr:row>468</xdr:row>
                    <xdr:rowOff>114300</xdr:rowOff>
                  </from>
                  <to>
                    <xdr:col>17</xdr:col>
                    <xdr:colOff>312420</xdr:colOff>
                    <xdr:row>469</xdr:row>
                    <xdr:rowOff>7620</xdr:rowOff>
                  </to>
                </anchor>
              </controlPr>
            </control>
          </mc:Choice>
        </mc:AlternateContent>
        <mc:AlternateContent xmlns:mc="http://schemas.openxmlformats.org/markup-compatibility/2006">
          <mc:Choice Requires="x14">
            <control shapeId="5349" r:id="rId145" name="Button 229">
              <controlPr defaultSize="0" print="0" autoFill="0" autoPict="0" macro="[0]!kopie11">
                <anchor moveWithCells="1" sizeWithCells="1">
                  <from>
                    <xdr:col>18</xdr:col>
                    <xdr:colOff>114300</xdr:colOff>
                    <xdr:row>468</xdr:row>
                    <xdr:rowOff>114300</xdr:rowOff>
                  </from>
                  <to>
                    <xdr:col>19</xdr:col>
                    <xdr:colOff>137160</xdr:colOff>
                    <xdr:row>469</xdr:row>
                    <xdr:rowOff>7620</xdr:rowOff>
                  </to>
                </anchor>
              </controlPr>
            </control>
          </mc:Choice>
        </mc:AlternateContent>
        <mc:AlternateContent xmlns:mc="http://schemas.openxmlformats.org/markup-compatibility/2006">
          <mc:Choice Requires="x14">
            <control shapeId="5350" r:id="rId146" name="Button 230">
              <controlPr defaultSize="0" print="0" autoFill="0" autoPict="0" macro="[0]!kopie12">
                <anchor moveWithCells="1" sizeWithCells="1">
                  <from>
                    <xdr:col>19</xdr:col>
                    <xdr:colOff>350520</xdr:colOff>
                    <xdr:row>468</xdr:row>
                    <xdr:rowOff>114300</xdr:rowOff>
                  </from>
                  <to>
                    <xdr:col>20</xdr:col>
                    <xdr:colOff>365760</xdr:colOff>
                    <xdr:row>469</xdr:row>
                    <xdr:rowOff>7620</xdr:rowOff>
                  </to>
                </anchor>
              </controlPr>
            </control>
          </mc:Choice>
        </mc:AlternateContent>
        <mc:AlternateContent xmlns:mc="http://schemas.openxmlformats.org/markup-compatibility/2006">
          <mc:Choice Requires="x14">
            <control shapeId="5121" r:id="rId147"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48"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49"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0" name="Button 5">
              <controlPr defaultSize="0" print="0" autoFill="0" autoPict="0" macro="[0]!PSPrint_E">
                <anchor moveWithCells="1" sizeWithCells="1">
                  <from>
                    <xdr:col>0</xdr:col>
                    <xdr:colOff>0</xdr:colOff>
                    <xdr:row>120</xdr:row>
                    <xdr:rowOff>121920</xdr:rowOff>
                  </from>
                  <to>
                    <xdr:col>1</xdr:col>
                    <xdr:colOff>99060</xdr:colOff>
                    <xdr:row>120</xdr:row>
                    <xdr:rowOff>495300</xdr:rowOff>
                  </to>
                </anchor>
              </controlPr>
            </control>
          </mc:Choice>
        </mc:AlternateContent>
        <mc:AlternateContent xmlns:mc="http://schemas.openxmlformats.org/markup-compatibility/2006">
          <mc:Choice Requires="x14">
            <control shapeId="5126" r:id="rId151"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52"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53"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54"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55"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56"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57"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58"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59"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0" name="Button 455">
              <controlPr defaultSize="0" print="0" autoFill="0" autoPict="0" macro="[0]!PSPrint_L">
                <anchor moveWithCells="1" sizeWithCells="1">
                  <from>
                    <xdr:col>0</xdr:col>
                    <xdr:colOff>121920</xdr:colOff>
                    <xdr:row>295</xdr:row>
                    <xdr:rowOff>60960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61"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62" name="Button 578">
              <controlPr defaultSize="0" print="0" autoFill="0" autoPict="0" macro="[0]!PSPrint_Q">
                <anchor moveWithCells="1" sizeWithCells="1">
                  <from>
                    <xdr:col>0</xdr:col>
                    <xdr:colOff>137160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63"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64"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65" name="Button 62">
              <controlPr defaultSize="0" print="0" autoFill="0" autoPict="0" macro="[0]!kopie4">
                <anchor moveWithCells="1" sizeWithCells="1">
                  <from>
                    <xdr:col>3</xdr:col>
                    <xdr:colOff>83820</xdr:colOff>
                    <xdr:row>218</xdr:row>
                    <xdr:rowOff>137160</xdr:rowOff>
                  </from>
                  <to>
                    <xdr:col>4</xdr:col>
                    <xdr:colOff>175260</xdr:colOff>
                    <xdr:row>219</xdr:row>
                    <xdr:rowOff>22860</xdr:rowOff>
                  </to>
                </anchor>
              </controlPr>
            </control>
          </mc:Choice>
        </mc:AlternateContent>
        <mc:AlternateContent xmlns:mc="http://schemas.openxmlformats.org/markup-compatibility/2006">
          <mc:Choice Requires="x14">
            <control shapeId="3" r:id="rId166" name="Button 63">
              <controlPr defaultSize="0" print="0" autoFill="0" autoPict="0" macro="[0]!kopie5">
                <anchor moveWithCells="1" sizeWithCells="1">
                  <from>
                    <xdr:col>5</xdr:col>
                    <xdr:colOff>137160</xdr:colOff>
                    <xdr:row>218</xdr:row>
                    <xdr:rowOff>137160</xdr:rowOff>
                  </from>
                  <to>
                    <xdr:col>6</xdr:col>
                    <xdr:colOff>274320</xdr:colOff>
                    <xdr:row>219</xdr:row>
                    <xdr:rowOff>22860</xdr:rowOff>
                  </to>
                </anchor>
              </controlPr>
            </control>
          </mc:Choice>
        </mc:AlternateContent>
        <mc:AlternateContent xmlns:mc="http://schemas.openxmlformats.org/markup-compatibility/2006">
          <mc:Choice Requires="x14">
            <control shapeId="4" r:id="rId167" name="Button 64">
              <controlPr defaultSize="0" print="0" autoFill="0" autoPict="0" macro="[0]!kopie6">
                <anchor moveWithCells="1" sizeWithCells="1">
                  <from>
                    <xdr:col>7</xdr:col>
                    <xdr:colOff>251460</xdr:colOff>
                    <xdr:row>218</xdr:row>
                    <xdr:rowOff>137160</xdr:rowOff>
                  </from>
                  <to>
                    <xdr:col>9</xdr:col>
                    <xdr:colOff>99060</xdr:colOff>
                    <xdr:row>219</xdr:row>
                    <xdr:rowOff>22860</xdr:rowOff>
                  </to>
                </anchor>
              </controlPr>
            </control>
          </mc:Choice>
        </mc:AlternateContent>
        <mc:AlternateContent xmlns:mc="http://schemas.openxmlformats.org/markup-compatibility/2006">
          <mc:Choice Requires="x14">
            <control shapeId="5" r:id="rId168" name="Button 65">
              <controlPr defaultSize="0" print="0" autoFill="0" autoPict="0" macro="[0]!kopie7">
                <anchor moveWithCells="1" sizeWithCells="1">
                  <from>
                    <xdr:col>10</xdr:col>
                    <xdr:colOff>53340</xdr:colOff>
                    <xdr:row>218</xdr:row>
                    <xdr:rowOff>137160</xdr:rowOff>
                  </from>
                  <to>
                    <xdr:col>11</xdr:col>
                    <xdr:colOff>198120</xdr:colOff>
                    <xdr:row>219</xdr:row>
                    <xdr:rowOff>22860</xdr:rowOff>
                  </to>
                </anchor>
              </controlPr>
            </control>
          </mc:Choice>
        </mc:AlternateContent>
        <mc:AlternateContent xmlns:mc="http://schemas.openxmlformats.org/markup-compatibility/2006">
          <mc:Choice Requires="x14">
            <control shapeId="6" r:id="rId169" name="Button 66">
              <controlPr defaultSize="0" print="0" autoFill="0" autoPict="0" macro="[0]!kopie8">
                <anchor moveWithCells="1" sizeWithCells="1">
                  <from>
                    <xdr:col>12</xdr:col>
                    <xdr:colOff>243840</xdr:colOff>
                    <xdr:row>218</xdr:row>
                    <xdr:rowOff>137160</xdr:rowOff>
                  </from>
                  <to>
                    <xdr:col>14</xdr:col>
                    <xdr:colOff>91440</xdr:colOff>
                    <xdr:row>219</xdr:row>
                    <xdr:rowOff>22860</xdr:rowOff>
                  </to>
                </anchor>
              </controlPr>
            </control>
          </mc:Choice>
        </mc:AlternateContent>
        <mc:AlternateContent xmlns:mc="http://schemas.openxmlformats.org/markup-compatibility/2006">
          <mc:Choice Requires="x14">
            <control shapeId="7" r:id="rId170" name="Button 67">
              <controlPr defaultSize="0" print="0" autoFill="0" autoPict="0" macro="[0]!kopie9">
                <anchor moveWithCells="1" sizeWithCells="1">
                  <from>
                    <xdr:col>14</xdr:col>
                    <xdr:colOff>403860</xdr:colOff>
                    <xdr:row>218</xdr:row>
                    <xdr:rowOff>137160</xdr:rowOff>
                  </from>
                  <to>
                    <xdr:col>15</xdr:col>
                    <xdr:colOff>419100</xdr:colOff>
                    <xdr:row>219</xdr:row>
                    <xdr:rowOff>22860</xdr:rowOff>
                  </to>
                </anchor>
              </controlPr>
            </control>
          </mc:Choice>
        </mc:AlternateContent>
        <mc:AlternateContent xmlns:mc="http://schemas.openxmlformats.org/markup-compatibility/2006">
          <mc:Choice Requires="x14">
            <control shapeId="8" r:id="rId171" name="Button 68">
              <controlPr defaultSize="0" print="0" autoFill="0" autoPict="0" macro="[0]!kopie10">
                <anchor moveWithCells="1" sizeWithCells="1">
                  <from>
                    <xdr:col>16</xdr:col>
                    <xdr:colOff>213360</xdr:colOff>
                    <xdr:row>218</xdr:row>
                    <xdr:rowOff>137160</xdr:rowOff>
                  </from>
                  <to>
                    <xdr:col>17</xdr:col>
                    <xdr:colOff>228600</xdr:colOff>
                    <xdr:row>219</xdr:row>
                    <xdr:rowOff>22860</xdr:rowOff>
                  </to>
                </anchor>
              </controlPr>
            </control>
          </mc:Choice>
        </mc:AlternateContent>
        <mc:AlternateContent xmlns:mc="http://schemas.openxmlformats.org/markup-compatibility/2006">
          <mc:Choice Requires="x14">
            <control shapeId="9" r:id="rId172" name="Button 69">
              <controlPr defaultSize="0" print="0" autoFill="0" autoPict="0" macro="[0]!kopie11">
                <anchor moveWithCells="1" sizeWithCells="1">
                  <from>
                    <xdr:col>18</xdr:col>
                    <xdr:colOff>30480</xdr:colOff>
                    <xdr:row>218</xdr:row>
                    <xdr:rowOff>137160</xdr:rowOff>
                  </from>
                  <to>
                    <xdr:col>19</xdr:col>
                    <xdr:colOff>53340</xdr:colOff>
                    <xdr:row>219</xdr:row>
                    <xdr:rowOff>22860</xdr:rowOff>
                  </to>
                </anchor>
              </controlPr>
            </control>
          </mc:Choice>
        </mc:AlternateContent>
        <mc:AlternateContent xmlns:mc="http://schemas.openxmlformats.org/markup-compatibility/2006">
          <mc:Choice Requires="x14">
            <control shapeId="20" r:id="rId173" name="Button 70">
              <controlPr defaultSize="0" print="0" autoFill="0" autoPict="0" macro="[0]!kopie12">
                <anchor moveWithCells="1" sizeWithCells="1">
                  <from>
                    <xdr:col>19</xdr:col>
                    <xdr:colOff>266700</xdr:colOff>
                    <xdr:row>218</xdr:row>
                    <xdr:rowOff>137160</xdr:rowOff>
                  </from>
                  <to>
                    <xdr:col>20</xdr:col>
                    <xdr:colOff>281940</xdr:colOff>
                    <xdr:row>219</xdr:row>
                    <xdr:rowOff>22860</xdr:rowOff>
                  </to>
                </anchor>
              </controlPr>
            </control>
          </mc:Choice>
        </mc:AlternateContent>
        <mc:AlternateContent xmlns:mc="http://schemas.openxmlformats.org/markup-compatibility/2006">
          <mc:Choice Requires="x14">
            <control shapeId="21" r:id="rId174" name="Button 160">
              <controlPr defaultSize="0" print="0" autoFill="0" autoPict="0" macro="[0]!kopie4">
                <anchor moveWithCells="1" sizeWithCells="1">
                  <from>
                    <xdr:col>3</xdr:col>
                    <xdr:colOff>22860</xdr:colOff>
                    <xdr:row>318</xdr:row>
                    <xdr:rowOff>114300</xdr:rowOff>
                  </from>
                  <to>
                    <xdr:col>4</xdr:col>
                    <xdr:colOff>114300</xdr:colOff>
                    <xdr:row>318</xdr:row>
                    <xdr:rowOff>289560</xdr:rowOff>
                  </to>
                </anchor>
              </controlPr>
            </control>
          </mc:Choice>
        </mc:AlternateContent>
        <mc:AlternateContent xmlns:mc="http://schemas.openxmlformats.org/markup-compatibility/2006">
          <mc:Choice Requires="x14">
            <control shapeId="22" r:id="rId175" name="Button 161">
              <controlPr defaultSize="0" print="0" autoFill="0" autoPict="0" macro="[0]!kopie5">
                <anchor moveWithCells="1" sizeWithCells="1">
                  <from>
                    <xdr:col>5</xdr:col>
                    <xdr:colOff>76200</xdr:colOff>
                    <xdr:row>318</xdr:row>
                    <xdr:rowOff>114300</xdr:rowOff>
                  </from>
                  <to>
                    <xdr:col>6</xdr:col>
                    <xdr:colOff>213360</xdr:colOff>
                    <xdr:row>318</xdr:row>
                    <xdr:rowOff>289560</xdr:rowOff>
                  </to>
                </anchor>
              </controlPr>
            </control>
          </mc:Choice>
        </mc:AlternateContent>
        <mc:AlternateContent xmlns:mc="http://schemas.openxmlformats.org/markup-compatibility/2006">
          <mc:Choice Requires="x14">
            <control shapeId="23" r:id="rId176" name="Button 162">
              <controlPr defaultSize="0" print="0" autoFill="0" autoPict="0" macro="[0]!kopie6">
                <anchor moveWithCells="1" sizeWithCells="1">
                  <from>
                    <xdr:col>7</xdr:col>
                    <xdr:colOff>190500</xdr:colOff>
                    <xdr:row>318</xdr:row>
                    <xdr:rowOff>114300</xdr:rowOff>
                  </from>
                  <to>
                    <xdr:col>9</xdr:col>
                    <xdr:colOff>38100</xdr:colOff>
                    <xdr:row>318</xdr:row>
                    <xdr:rowOff>289560</xdr:rowOff>
                  </to>
                </anchor>
              </controlPr>
            </control>
          </mc:Choice>
        </mc:AlternateContent>
        <mc:AlternateContent xmlns:mc="http://schemas.openxmlformats.org/markup-compatibility/2006">
          <mc:Choice Requires="x14">
            <control shapeId="24" r:id="rId177" name="Button 163">
              <controlPr defaultSize="0" print="0" autoFill="0" autoPict="0" macro="[0]!kopie7">
                <anchor moveWithCells="1" sizeWithCells="1">
                  <from>
                    <xdr:col>9</xdr:col>
                    <xdr:colOff>289560</xdr:colOff>
                    <xdr:row>318</xdr:row>
                    <xdr:rowOff>114300</xdr:rowOff>
                  </from>
                  <to>
                    <xdr:col>11</xdr:col>
                    <xdr:colOff>137160</xdr:colOff>
                    <xdr:row>318</xdr:row>
                    <xdr:rowOff>289560</xdr:rowOff>
                  </to>
                </anchor>
              </controlPr>
            </control>
          </mc:Choice>
        </mc:AlternateContent>
        <mc:AlternateContent xmlns:mc="http://schemas.openxmlformats.org/markup-compatibility/2006">
          <mc:Choice Requires="x14">
            <control shapeId="25" r:id="rId178" name="Button 164">
              <controlPr defaultSize="0" print="0" autoFill="0" autoPict="0" macro="[0]!kopie8">
                <anchor moveWithCells="1" sizeWithCells="1">
                  <from>
                    <xdr:col>12</xdr:col>
                    <xdr:colOff>182880</xdr:colOff>
                    <xdr:row>318</xdr:row>
                    <xdr:rowOff>114300</xdr:rowOff>
                  </from>
                  <to>
                    <xdr:col>14</xdr:col>
                    <xdr:colOff>30480</xdr:colOff>
                    <xdr:row>318</xdr:row>
                    <xdr:rowOff>289560</xdr:rowOff>
                  </to>
                </anchor>
              </controlPr>
            </control>
          </mc:Choice>
        </mc:AlternateContent>
        <mc:AlternateContent xmlns:mc="http://schemas.openxmlformats.org/markup-compatibility/2006">
          <mc:Choice Requires="x14">
            <control shapeId="26" r:id="rId179" name="Button 165">
              <controlPr defaultSize="0" print="0" autoFill="0" autoPict="0" macro="[0]!kopie9">
                <anchor moveWithCells="1" sizeWithCells="1">
                  <from>
                    <xdr:col>14</xdr:col>
                    <xdr:colOff>342900</xdr:colOff>
                    <xdr:row>318</xdr:row>
                    <xdr:rowOff>114300</xdr:rowOff>
                  </from>
                  <to>
                    <xdr:col>15</xdr:col>
                    <xdr:colOff>358140</xdr:colOff>
                    <xdr:row>318</xdr:row>
                    <xdr:rowOff>289560</xdr:rowOff>
                  </to>
                </anchor>
              </controlPr>
            </control>
          </mc:Choice>
        </mc:AlternateContent>
        <mc:AlternateContent xmlns:mc="http://schemas.openxmlformats.org/markup-compatibility/2006">
          <mc:Choice Requires="x14">
            <control shapeId="27" r:id="rId180" name="Button 166">
              <controlPr defaultSize="0" print="0" autoFill="0" autoPict="0" macro="[0]!kopie10">
                <anchor moveWithCells="1" sizeWithCells="1">
                  <from>
                    <xdr:col>16</xdr:col>
                    <xdr:colOff>152400</xdr:colOff>
                    <xdr:row>318</xdr:row>
                    <xdr:rowOff>114300</xdr:rowOff>
                  </from>
                  <to>
                    <xdr:col>17</xdr:col>
                    <xdr:colOff>167640</xdr:colOff>
                    <xdr:row>318</xdr:row>
                    <xdr:rowOff>289560</xdr:rowOff>
                  </to>
                </anchor>
              </controlPr>
            </control>
          </mc:Choice>
        </mc:AlternateContent>
        <mc:AlternateContent xmlns:mc="http://schemas.openxmlformats.org/markup-compatibility/2006">
          <mc:Choice Requires="x14">
            <control shapeId="28" r:id="rId181" name="Button 167">
              <controlPr defaultSize="0" print="0" autoFill="0" autoPict="0" macro="[0]!kopie11">
                <anchor moveWithCells="1" sizeWithCells="1">
                  <from>
                    <xdr:col>17</xdr:col>
                    <xdr:colOff>396240</xdr:colOff>
                    <xdr:row>318</xdr:row>
                    <xdr:rowOff>114300</xdr:rowOff>
                  </from>
                  <to>
                    <xdr:col>18</xdr:col>
                    <xdr:colOff>419100</xdr:colOff>
                    <xdr:row>318</xdr:row>
                    <xdr:rowOff>289560</xdr:rowOff>
                  </to>
                </anchor>
              </controlPr>
            </control>
          </mc:Choice>
        </mc:AlternateContent>
        <mc:AlternateContent xmlns:mc="http://schemas.openxmlformats.org/markup-compatibility/2006">
          <mc:Choice Requires="x14">
            <control shapeId="29" r:id="rId182" name="Button 168">
              <controlPr defaultSize="0" print="0" autoFill="0" autoPict="0" macro="[0]!kopie12">
                <anchor moveWithCells="1" sizeWithCells="1">
                  <from>
                    <xdr:col>19</xdr:col>
                    <xdr:colOff>205740</xdr:colOff>
                    <xdr:row>318</xdr:row>
                    <xdr:rowOff>114300</xdr:rowOff>
                  </from>
                  <to>
                    <xdr:col>20</xdr:col>
                    <xdr:colOff>220980</xdr:colOff>
                    <xdr:row>318</xdr:row>
                    <xdr:rowOff>289560</xdr:rowOff>
                  </to>
                </anchor>
              </controlPr>
            </control>
          </mc:Choice>
        </mc:AlternateContent>
        <mc:AlternateContent xmlns:mc="http://schemas.openxmlformats.org/markup-compatibility/2006">
          <mc:Choice Requires="x14">
            <control shapeId="30" r:id="rId183" name="Button 171">
              <controlPr defaultSize="0" print="0" autoFill="0" autoPict="0" macro="[0]!kopie4">
                <anchor moveWithCells="1" sizeWithCells="1">
                  <from>
                    <xdr:col>3</xdr:col>
                    <xdr:colOff>76200</xdr:colOff>
                    <xdr:row>343</xdr:row>
                    <xdr:rowOff>114300</xdr:rowOff>
                  </from>
                  <to>
                    <xdr:col>4</xdr:col>
                    <xdr:colOff>167640</xdr:colOff>
                    <xdr:row>344</xdr:row>
                    <xdr:rowOff>0</xdr:rowOff>
                  </to>
                </anchor>
              </controlPr>
            </control>
          </mc:Choice>
        </mc:AlternateContent>
        <mc:AlternateContent xmlns:mc="http://schemas.openxmlformats.org/markup-compatibility/2006">
          <mc:Choice Requires="x14">
            <control shapeId="31" r:id="rId184" name="Button 172">
              <controlPr defaultSize="0" print="0" autoFill="0" autoPict="0" macro="[0]!kopie5">
                <anchor moveWithCells="1" sizeWithCells="1">
                  <from>
                    <xdr:col>5</xdr:col>
                    <xdr:colOff>129540</xdr:colOff>
                    <xdr:row>343</xdr:row>
                    <xdr:rowOff>114300</xdr:rowOff>
                  </from>
                  <to>
                    <xdr:col>6</xdr:col>
                    <xdr:colOff>266700</xdr:colOff>
                    <xdr:row>344</xdr:row>
                    <xdr:rowOff>0</xdr:rowOff>
                  </to>
                </anchor>
              </controlPr>
            </control>
          </mc:Choice>
        </mc:AlternateContent>
        <mc:AlternateContent xmlns:mc="http://schemas.openxmlformats.org/markup-compatibility/2006">
          <mc:Choice Requires="x14">
            <control shapeId="32" r:id="rId185" name="Button 173">
              <controlPr defaultSize="0" print="0" autoFill="0" autoPict="0" macro="[0]!kopie6">
                <anchor moveWithCells="1" sizeWithCells="1">
                  <from>
                    <xdr:col>7</xdr:col>
                    <xdr:colOff>243840</xdr:colOff>
                    <xdr:row>343</xdr:row>
                    <xdr:rowOff>114300</xdr:rowOff>
                  </from>
                  <to>
                    <xdr:col>9</xdr:col>
                    <xdr:colOff>91440</xdr:colOff>
                    <xdr:row>344</xdr:row>
                    <xdr:rowOff>0</xdr:rowOff>
                  </to>
                </anchor>
              </controlPr>
            </control>
          </mc:Choice>
        </mc:AlternateContent>
        <mc:AlternateContent xmlns:mc="http://schemas.openxmlformats.org/markup-compatibility/2006">
          <mc:Choice Requires="x14">
            <control shapeId="33" r:id="rId186" name="Button 174">
              <controlPr defaultSize="0" print="0" autoFill="0" autoPict="0" macro="[0]!kopie7">
                <anchor moveWithCells="1" sizeWithCells="1">
                  <from>
                    <xdr:col>10</xdr:col>
                    <xdr:colOff>45720</xdr:colOff>
                    <xdr:row>343</xdr:row>
                    <xdr:rowOff>114300</xdr:rowOff>
                  </from>
                  <to>
                    <xdr:col>11</xdr:col>
                    <xdr:colOff>190500</xdr:colOff>
                    <xdr:row>344</xdr:row>
                    <xdr:rowOff>0</xdr:rowOff>
                  </to>
                </anchor>
              </controlPr>
            </control>
          </mc:Choice>
        </mc:AlternateContent>
        <mc:AlternateContent xmlns:mc="http://schemas.openxmlformats.org/markup-compatibility/2006">
          <mc:Choice Requires="x14">
            <control shapeId="34" r:id="rId187" name="Button 175">
              <controlPr defaultSize="0" print="0" autoFill="0" autoPict="0" macro="[0]!kopie8">
                <anchor moveWithCells="1" sizeWithCells="1">
                  <from>
                    <xdr:col>12</xdr:col>
                    <xdr:colOff>236220</xdr:colOff>
                    <xdr:row>343</xdr:row>
                    <xdr:rowOff>114300</xdr:rowOff>
                  </from>
                  <to>
                    <xdr:col>14</xdr:col>
                    <xdr:colOff>83820</xdr:colOff>
                    <xdr:row>344</xdr:row>
                    <xdr:rowOff>0</xdr:rowOff>
                  </to>
                </anchor>
              </controlPr>
            </control>
          </mc:Choice>
        </mc:AlternateContent>
        <mc:AlternateContent xmlns:mc="http://schemas.openxmlformats.org/markup-compatibility/2006">
          <mc:Choice Requires="x14">
            <control shapeId="35" r:id="rId188" name="Button 176">
              <controlPr defaultSize="0" print="0" autoFill="0" autoPict="0" macro="[0]!kopie9">
                <anchor moveWithCells="1" sizeWithCells="1">
                  <from>
                    <xdr:col>14</xdr:col>
                    <xdr:colOff>396240</xdr:colOff>
                    <xdr:row>343</xdr:row>
                    <xdr:rowOff>114300</xdr:rowOff>
                  </from>
                  <to>
                    <xdr:col>15</xdr:col>
                    <xdr:colOff>411480</xdr:colOff>
                    <xdr:row>344</xdr:row>
                    <xdr:rowOff>0</xdr:rowOff>
                  </to>
                </anchor>
              </controlPr>
            </control>
          </mc:Choice>
        </mc:AlternateContent>
        <mc:AlternateContent xmlns:mc="http://schemas.openxmlformats.org/markup-compatibility/2006">
          <mc:Choice Requires="x14">
            <control shapeId="36" r:id="rId189" name="Button 177">
              <controlPr defaultSize="0" print="0" autoFill="0" autoPict="0" macro="[0]!kopie10">
                <anchor moveWithCells="1" sizeWithCells="1">
                  <from>
                    <xdr:col>16</xdr:col>
                    <xdr:colOff>205740</xdr:colOff>
                    <xdr:row>343</xdr:row>
                    <xdr:rowOff>114300</xdr:rowOff>
                  </from>
                  <to>
                    <xdr:col>17</xdr:col>
                    <xdr:colOff>220980</xdr:colOff>
                    <xdr:row>344</xdr:row>
                    <xdr:rowOff>0</xdr:rowOff>
                  </to>
                </anchor>
              </controlPr>
            </control>
          </mc:Choice>
        </mc:AlternateContent>
        <mc:AlternateContent xmlns:mc="http://schemas.openxmlformats.org/markup-compatibility/2006">
          <mc:Choice Requires="x14">
            <control shapeId="37" r:id="rId190" name="Button 178">
              <controlPr defaultSize="0" print="0" autoFill="0" autoPict="0" macro="[0]!kopie11">
                <anchor moveWithCells="1" sizeWithCells="1">
                  <from>
                    <xdr:col>18</xdr:col>
                    <xdr:colOff>22860</xdr:colOff>
                    <xdr:row>343</xdr:row>
                    <xdr:rowOff>114300</xdr:rowOff>
                  </from>
                  <to>
                    <xdr:col>19</xdr:col>
                    <xdr:colOff>45720</xdr:colOff>
                    <xdr:row>344</xdr:row>
                    <xdr:rowOff>0</xdr:rowOff>
                  </to>
                </anchor>
              </controlPr>
            </control>
          </mc:Choice>
        </mc:AlternateContent>
        <mc:AlternateContent xmlns:mc="http://schemas.openxmlformats.org/markup-compatibility/2006">
          <mc:Choice Requires="x14">
            <control shapeId="38" r:id="rId191" name="Button 179">
              <controlPr defaultSize="0" print="0" autoFill="0" autoPict="0" macro="[0]!kopie12">
                <anchor moveWithCells="1" sizeWithCells="1">
                  <from>
                    <xdr:col>19</xdr:col>
                    <xdr:colOff>259080</xdr:colOff>
                    <xdr:row>343</xdr:row>
                    <xdr:rowOff>114300</xdr:rowOff>
                  </from>
                  <to>
                    <xdr:col>20</xdr:col>
                    <xdr:colOff>274320</xdr:colOff>
                    <xdr:row>344</xdr:row>
                    <xdr:rowOff>0</xdr:rowOff>
                  </to>
                </anchor>
              </controlPr>
            </control>
          </mc:Choice>
        </mc:AlternateContent>
        <mc:AlternateContent xmlns:mc="http://schemas.openxmlformats.org/markup-compatibility/2006">
          <mc:Choice Requires="x14">
            <control shapeId="5864" r:id="rId192"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193"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194"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195"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196"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197"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198"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199"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0"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01"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02"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03"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04"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05"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06"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07"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08"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09"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0"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11"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mc:AlternateContent xmlns:mc="http://schemas.openxmlformats.org/markup-compatibility/2006">
          <mc:Choice Requires="x14">
            <control shapeId="39" r:id="rId212" name="Button 71">
              <controlPr defaultSize="0" print="0" autoFill="0" autoPict="0" macro="[0]!kopie4">
                <anchor moveWithCells="1" sizeWithCells="1">
                  <from>
                    <xdr:col>4</xdr:col>
                    <xdr:colOff>91440</xdr:colOff>
                    <xdr:row>68</xdr:row>
                    <xdr:rowOff>60960</xdr:rowOff>
                  </from>
                  <to>
                    <xdr:col>5</xdr:col>
                    <xdr:colOff>236220</xdr:colOff>
                    <xdr:row>68</xdr:row>
                    <xdr:rowOff>251460</xdr:rowOff>
                  </to>
                </anchor>
              </controlPr>
            </control>
          </mc:Choice>
        </mc:AlternateContent>
        <mc:AlternateContent xmlns:mc="http://schemas.openxmlformats.org/markup-compatibility/2006">
          <mc:Choice Requires="x14">
            <control shapeId="40" r:id="rId213" name="Button 72">
              <controlPr defaultSize="0" print="0" autoFill="0" autoPict="0" macro="[0]!kopie5">
                <anchor moveWithCells="1" sizeWithCells="1">
                  <from>
                    <xdr:col>6</xdr:col>
                    <xdr:colOff>198120</xdr:colOff>
                    <xdr:row>68</xdr:row>
                    <xdr:rowOff>60960</xdr:rowOff>
                  </from>
                  <to>
                    <xdr:col>8</xdr:col>
                    <xdr:colOff>38100</xdr:colOff>
                    <xdr:row>68</xdr:row>
                    <xdr:rowOff>251460</xdr:rowOff>
                  </to>
                </anchor>
              </controlPr>
            </control>
          </mc:Choice>
        </mc:AlternateContent>
        <mc:AlternateContent xmlns:mc="http://schemas.openxmlformats.org/markup-compatibility/2006">
          <mc:Choice Requires="x14">
            <control shapeId="41" r:id="rId214" name="Button 73">
              <controlPr defaultSize="0" print="0" autoFill="0" autoPict="0" macro="[0]!kopie6">
                <anchor moveWithCells="1" sizeWithCells="1">
                  <from>
                    <xdr:col>9</xdr:col>
                    <xdr:colOff>15240</xdr:colOff>
                    <xdr:row>68</xdr:row>
                    <xdr:rowOff>60960</xdr:rowOff>
                  </from>
                  <to>
                    <xdr:col>10</xdr:col>
                    <xdr:colOff>160020</xdr:colOff>
                    <xdr:row>68</xdr:row>
                    <xdr:rowOff>251460</xdr:rowOff>
                  </to>
                </anchor>
              </controlPr>
            </control>
          </mc:Choice>
        </mc:AlternateContent>
        <mc:AlternateContent xmlns:mc="http://schemas.openxmlformats.org/markup-compatibility/2006">
          <mc:Choice Requires="x14">
            <control shapeId="42" r:id="rId215" name="Button 74">
              <controlPr defaultSize="0" print="0" autoFill="0" autoPict="0" macro="[0]!kopie7">
                <anchor moveWithCells="1" sizeWithCells="1">
                  <from>
                    <xdr:col>11</xdr:col>
                    <xdr:colOff>114300</xdr:colOff>
                    <xdr:row>68</xdr:row>
                    <xdr:rowOff>60960</xdr:rowOff>
                  </from>
                  <to>
                    <xdr:col>12</xdr:col>
                    <xdr:colOff>259080</xdr:colOff>
                    <xdr:row>68</xdr:row>
                    <xdr:rowOff>251460</xdr:rowOff>
                  </to>
                </anchor>
              </controlPr>
            </control>
          </mc:Choice>
        </mc:AlternateContent>
        <mc:AlternateContent xmlns:mc="http://schemas.openxmlformats.org/markup-compatibility/2006">
          <mc:Choice Requires="x14">
            <control shapeId="43" r:id="rId216" name="Button 75">
              <controlPr defaultSize="0" print="0" autoFill="0" autoPict="0" macro="[0]!kopie8">
                <anchor moveWithCells="1" sizeWithCells="1">
                  <from>
                    <xdr:col>14</xdr:col>
                    <xdr:colOff>7620</xdr:colOff>
                    <xdr:row>68</xdr:row>
                    <xdr:rowOff>60960</xdr:rowOff>
                  </from>
                  <to>
                    <xdr:col>15</xdr:col>
                    <xdr:colOff>22860</xdr:colOff>
                    <xdr:row>68</xdr:row>
                    <xdr:rowOff>251460</xdr:rowOff>
                  </to>
                </anchor>
              </controlPr>
            </control>
          </mc:Choice>
        </mc:AlternateContent>
        <mc:AlternateContent xmlns:mc="http://schemas.openxmlformats.org/markup-compatibility/2006">
          <mc:Choice Requires="x14">
            <control shapeId="44" r:id="rId217" name="Button 76">
              <controlPr defaultSize="0" print="0" autoFill="0" autoPict="0" macro="[0]!kopie9">
                <anchor moveWithCells="1" sizeWithCells="1">
                  <from>
                    <xdr:col>15</xdr:col>
                    <xdr:colOff>342900</xdr:colOff>
                    <xdr:row>68</xdr:row>
                    <xdr:rowOff>60960</xdr:rowOff>
                  </from>
                  <to>
                    <xdr:col>16</xdr:col>
                    <xdr:colOff>358140</xdr:colOff>
                    <xdr:row>68</xdr:row>
                    <xdr:rowOff>251460</xdr:rowOff>
                  </to>
                </anchor>
              </controlPr>
            </control>
          </mc:Choice>
        </mc:AlternateContent>
        <mc:AlternateContent xmlns:mc="http://schemas.openxmlformats.org/markup-compatibility/2006">
          <mc:Choice Requires="x14">
            <control shapeId="45" r:id="rId218" name="Button 77">
              <controlPr defaultSize="0" print="0" autoFill="0" autoPict="0" macro="[0]!kopie10">
                <anchor moveWithCells="1" sizeWithCells="1">
                  <from>
                    <xdr:col>17</xdr:col>
                    <xdr:colOff>152400</xdr:colOff>
                    <xdr:row>68</xdr:row>
                    <xdr:rowOff>60960</xdr:rowOff>
                  </from>
                  <to>
                    <xdr:col>18</xdr:col>
                    <xdr:colOff>167640</xdr:colOff>
                    <xdr:row>68</xdr:row>
                    <xdr:rowOff>251460</xdr:rowOff>
                  </to>
                </anchor>
              </controlPr>
            </control>
          </mc:Choice>
        </mc:AlternateContent>
        <mc:AlternateContent xmlns:mc="http://schemas.openxmlformats.org/markup-compatibility/2006">
          <mc:Choice Requires="x14">
            <control shapeId="46" r:id="rId219" name="Button 78">
              <controlPr defaultSize="0" print="0" autoFill="0" autoPict="0" macro="[0]!kopie11">
                <anchor moveWithCells="1" sizeWithCells="1">
                  <from>
                    <xdr:col>18</xdr:col>
                    <xdr:colOff>388620</xdr:colOff>
                    <xdr:row>68</xdr:row>
                    <xdr:rowOff>60960</xdr:rowOff>
                  </from>
                  <to>
                    <xdr:col>19</xdr:col>
                    <xdr:colOff>419100</xdr:colOff>
                    <xdr:row>68</xdr:row>
                    <xdr:rowOff>251460</xdr:rowOff>
                  </to>
                </anchor>
              </controlPr>
            </control>
          </mc:Choice>
        </mc:AlternateContent>
        <mc:AlternateContent xmlns:mc="http://schemas.openxmlformats.org/markup-compatibility/2006">
          <mc:Choice Requires="x14">
            <control shapeId="47" r:id="rId220" name="Button 79">
              <controlPr defaultSize="0" print="0" autoFill="0" autoPict="0" macro="[0]!kopie12">
                <anchor moveWithCells="1" sizeWithCells="1">
                  <from>
                    <xdr:col>20</xdr:col>
                    <xdr:colOff>205740</xdr:colOff>
                    <xdr:row>68</xdr:row>
                    <xdr:rowOff>60960</xdr:rowOff>
                  </from>
                  <to>
                    <xdr:col>21</xdr:col>
                    <xdr:colOff>220980</xdr:colOff>
                    <xdr:row>68</xdr:row>
                    <xdr:rowOff>251460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0D4E-26F4-4546-B79C-6C82993224A6}">
  <dimension ref="A1:U77"/>
  <sheetViews>
    <sheetView topLeftCell="A43" zoomScale="115" zoomScaleNormal="115" workbookViewId="0">
      <selection activeCell="N63" sqref="N63"/>
    </sheetView>
  </sheetViews>
  <sheetFormatPr defaultRowHeight="14.4" x14ac:dyDescent="0.3"/>
  <cols>
    <col min="1" max="1" width="27.3320312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customWidth="1"/>
    <col min="13" max="13" width="13.33203125" customWidth="1"/>
    <col min="14" max="14" width="10.6640625" customWidth="1"/>
    <col min="15" max="15" width="11.33203125" customWidth="1"/>
    <col min="16" max="16" width="12.88671875" customWidth="1"/>
    <col min="17" max="17" width="12.33203125" customWidth="1"/>
    <col min="18" max="18" width="8.88671875" customWidth="1"/>
    <col min="19" max="19" width="9.109375" customWidth="1"/>
  </cols>
  <sheetData>
    <row r="1" spans="1:21" x14ac:dyDescent="0.3">
      <c r="A1" t="s">
        <v>66</v>
      </c>
      <c r="B1" t="s">
        <v>68</v>
      </c>
      <c r="C1" t="s">
        <v>630</v>
      </c>
      <c r="D1" t="s">
        <v>631</v>
      </c>
      <c r="E1" t="s">
        <v>632</v>
      </c>
      <c r="F1" t="s">
        <v>633</v>
      </c>
      <c r="G1" t="s">
        <v>634</v>
      </c>
      <c r="H1" t="s">
        <v>635</v>
      </c>
      <c r="I1" t="s">
        <v>636</v>
      </c>
      <c r="J1" t="s">
        <v>637</v>
      </c>
      <c r="K1" t="s">
        <v>638</v>
      </c>
      <c r="L1" t="s">
        <v>13</v>
      </c>
      <c r="M1" t="s">
        <v>16</v>
      </c>
      <c r="N1" t="s">
        <v>18</v>
      </c>
      <c r="O1" t="s">
        <v>20</v>
      </c>
      <c r="P1" t="s">
        <v>639</v>
      </c>
      <c r="Q1" t="s">
        <v>24</v>
      </c>
      <c r="R1" t="s">
        <v>26</v>
      </c>
      <c r="S1" t="s">
        <v>640</v>
      </c>
      <c r="T1" t="s">
        <v>641</v>
      </c>
      <c r="U1" t="s">
        <v>642</v>
      </c>
    </row>
    <row r="2" spans="1:21" x14ac:dyDescent="0.3">
      <c r="A2" s="1" t="s">
        <v>643</v>
      </c>
      <c r="B2" s="1" t="s">
        <v>185</v>
      </c>
      <c r="C2" s="2" t="s">
        <v>644</v>
      </c>
      <c r="D2" s="2"/>
      <c r="E2" s="2"/>
      <c r="F2" s="2"/>
      <c r="G2" s="3"/>
      <c r="H2" s="4"/>
      <c r="I2" s="144">
        <f t="shared" ref="I2:I34" si="0">J2+K2</f>
        <v>1</v>
      </c>
      <c r="J2" s="145">
        <v>1</v>
      </c>
      <c r="K2" s="5">
        <f t="shared" ref="K2:K34" si="1">SUM(L2:U2)</f>
        <v>0</v>
      </c>
    </row>
    <row r="3" spans="1:21" x14ac:dyDescent="0.3">
      <c r="A3" s="1" t="s">
        <v>645</v>
      </c>
      <c r="B3" s="1" t="s">
        <v>185</v>
      </c>
      <c r="C3" s="6"/>
      <c r="D3" s="6" t="s">
        <v>646</v>
      </c>
      <c r="E3" s="6" t="s">
        <v>644</v>
      </c>
      <c r="F3" s="6"/>
      <c r="G3" s="3" t="s">
        <v>647</v>
      </c>
      <c r="H3" s="4">
        <v>1</v>
      </c>
      <c r="I3" s="144">
        <f t="shared" si="0"/>
        <v>0</v>
      </c>
      <c r="J3" s="145">
        <v>0</v>
      </c>
      <c r="K3" s="5">
        <f t="shared" si="1"/>
        <v>0</v>
      </c>
    </row>
    <row r="4" spans="1:21" x14ac:dyDescent="0.3">
      <c r="A4" s="1" t="s">
        <v>648</v>
      </c>
      <c r="B4" s="1" t="s">
        <v>185</v>
      </c>
      <c r="C4" s="6"/>
      <c r="D4" s="6"/>
      <c r="E4" s="6" t="s">
        <v>644</v>
      </c>
      <c r="F4" s="6"/>
      <c r="G4" s="3" t="s">
        <v>644</v>
      </c>
      <c r="H4" s="4">
        <v>1</v>
      </c>
      <c r="I4" s="144">
        <f t="shared" si="0"/>
        <v>14</v>
      </c>
      <c r="J4" s="145">
        <v>14</v>
      </c>
      <c r="K4" s="5">
        <f t="shared" si="1"/>
        <v>0</v>
      </c>
    </row>
    <row r="5" spans="1:21" x14ac:dyDescent="0.3">
      <c r="A5" s="10" t="s">
        <v>649</v>
      </c>
      <c r="B5" s="1" t="s">
        <v>185</v>
      </c>
      <c r="C5" s="12" t="s">
        <v>650</v>
      </c>
      <c r="D5" s="12"/>
      <c r="E5" s="12"/>
      <c r="F5" s="12"/>
      <c r="G5" s="3"/>
      <c r="H5" s="4"/>
      <c r="I5" s="144">
        <f t="shared" si="0"/>
        <v>1</v>
      </c>
      <c r="J5" s="146">
        <v>1</v>
      </c>
      <c r="K5" s="5">
        <f t="shared" si="1"/>
        <v>0</v>
      </c>
    </row>
    <row r="6" spans="1:21" x14ac:dyDescent="0.3">
      <c r="A6" s="10" t="s">
        <v>651</v>
      </c>
      <c r="B6" s="1" t="s">
        <v>185</v>
      </c>
      <c r="C6" s="12"/>
      <c r="D6" s="12"/>
      <c r="E6" s="12" t="s">
        <v>644</v>
      </c>
      <c r="F6" s="12"/>
      <c r="G6" s="3" t="s">
        <v>647</v>
      </c>
      <c r="H6" s="4">
        <v>1</v>
      </c>
      <c r="I6" s="144">
        <f t="shared" si="0"/>
        <v>3</v>
      </c>
      <c r="J6" s="146">
        <v>3</v>
      </c>
      <c r="K6" s="5">
        <f t="shared" si="1"/>
        <v>0</v>
      </c>
    </row>
    <row r="7" spans="1:21" x14ac:dyDescent="0.3">
      <c r="A7" s="1" t="s">
        <v>652</v>
      </c>
      <c r="B7" s="1" t="s">
        <v>224</v>
      </c>
      <c r="C7" s="2"/>
      <c r="D7" s="2"/>
      <c r="E7" s="2" t="s">
        <v>644</v>
      </c>
      <c r="F7" s="2"/>
      <c r="G7" s="3"/>
      <c r="H7" s="4"/>
      <c r="I7" s="144">
        <f t="shared" si="0"/>
        <v>6</v>
      </c>
      <c r="J7" s="145">
        <v>6</v>
      </c>
      <c r="K7" s="5">
        <f t="shared" si="1"/>
        <v>0</v>
      </c>
    </row>
    <row r="8" spans="1:21" x14ac:dyDescent="0.3">
      <c r="A8" s="1" t="s">
        <v>653</v>
      </c>
      <c r="B8" s="1" t="s">
        <v>224</v>
      </c>
      <c r="C8" s="2" t="s">
        <v>650</v>
      </c>
      <c r="D8" s="2"/>
      <c r="E8" s="2" t="s">
        <v>644</v>
      </c>
      <c r="F8" s="2"/>
      <c r="G8" s="3" t="s">
        <v>644</v>
      </c>
      <c r="H8" s="4">
        <v>2</v>
      </c>
      <c r="I8" s="144">
        <f t="shared" si="0"/>
        <v>1</v>
      </c>
      <c r="J8" s="145">
        <v>1</v>
      </c>
      <c r="K8" s="5">
        <f t="shared" si="1"/>
        <v>0</v>
      </c>
    </row>
    <row r="9" spans="1:21" x14ac:dyDescent="0.3">
      <c r="A9" s="1" t="s">
        <v>654</v>
      </c>
      <c r="B9" s="1" t="s">
        <v>224</v>
      </c>
      <c r="C9" s="2"/>
      <c r="D9" s="2"/>
      <c r="E9" s="2" t="s">
        <v>644</v>
      </c>
      <c r="F9" s="2"/>
      <c r="G9" s="3" t="s">
        <v>647</v>
      </c>
      <c r="H9" s="4">
        <v>1</v>
      </c>
      <c r="I9" s="144">
        <f t="shared" si="0"/>
        <v>1</v>
      </c>
      <c r="J9" s="145">
        <v>1</v>
      </c>
      <c r="K9" s="5">
        <f t="shared" si="1"/>
        <v>0</v>
      </c>
    </row>
    <row r="10" spans="1:21" x14ac:dyDescent="0.3">
      <c r="A10" s="10" t="s">
        <v>655</v>
      </c>
      <c r="B10" s="1" t="s">
        <v>224</v>
      </c>
      <c r="C10" s="13"/>
      <c r="D10" s="13"/>
      <c r="E10" s="13" t="s">
        <v>644</v>
      </c>
      <c r="F10" s="13"/>
      <c r="G10" s="3"/>
      <c r="H10" s="4"/>
      <c r="I10" s="144">
        <f t="shared" si="0"/>
        <v>3</v>
      </c>
      <c r="J10" s="146">
        <v>3</v>
      </c>
      <c r="K10" s="5">
        <f t="shared" si="1"/>
        <v>0</v>
      </c>
    </row>
    <row r="11" spans="1:21" x14ac:dyDescent="0.3">
      <c r="A11" s="10" t="s">
        <v>656</v>
      </c>
      <c r="B11" s="1" t="s">
        <v>155</v>
      </c>
      <c r="C11" s="13" t="s">
        <v>650</v>
      </c>
      <c r="D11" s="13" t="s">
        <v>646</v>
      </c>
      <c r="E11" s="13" t="s">
        <v>644</v>
      </c>
      <c r="F11" s="13"/>
      <c r="G11" s="3"/>
      <c r="H11" s="4">
        <v>2</v>
      </c>
      <c r="I11" s="144">
        <f t="shared" si="0"/>
        <v>27</v>
      </c>
      <c r="J11" s="146">
        <v>26</v>
      </c>
      <c r="K11" s="5">
        <f t="shared" si="1"/>
        <v>1</v>
      </c>
      <c r="M11">
        <v>1</v>
      </c>
    </row>
    <row r="12" spans="1:21" x14ac:dyDescent="0.3">
      <c r="A12" s="10" t="s">
        <v>657</v>
      </c>
      <c r="B12" s="1" t="s">
        <v>155</v>
      </c>
      <c r="C12" s="12" t="s">
        <v>650</v>
      </c>
      <c r="D12" s="12" t="s">
        <v>646</v>
      </c>
      <c r="E12" s="12" t="s">
        <v>644</v>
      </c>
      <c r="F12" s="12"/>
      <c r="G12" s="3"/>
      <c r="H12" s="4"/>
      <c r="I12" s="213">
        <f>J12+K12</f>
        <v>2</v>
      </c>
      <c r="J12" s="146"/>
      <c r="K12" s="5">
        <f>SUM(L12:U12)</f>
        <v>2</v>
      </c>
      <c r="M12">
        <v>1</v>
      </c>
      <c r="N12">
        <v>1</v>
      </c>
    </row>
    <row r="13" spans="1:21" x14ac:dyDescent="0.3">
      <c r="A13" s="1" t="s">
        <v>658</v>
      </c>
      <c r="B13" s="1" t="s">
        <v>155</v>
      </c>
      <c r="C13" s="2"/>
      <c r="D13" s="2" t="s">
        <v>646</v>
      </c>
      <c r="E13" s="2" t="s">
        <v>644</v>
      </c>
      <c r="F13" s="2"/>
      <c r="G13" s="3"/>
      <c r="H13" s="4">
        <v>2</v>
      </c>
      <c r="I13" s="144">
        <f t="shared" si="0"/>
        <v>1</v>
      </c>
      <c r="J13" s="145">
        <v>1</v>
      </c>
      <c r="K13" s="5">
        <f t="shared" si="1"/>
        <v>0</v>
      </c>
    </row>
    <row r="14" spans="1:21" x14ac:dyDescent="0.3">
      <c r="A14" s="10" t="s">
        <v>659</v>
      </c>
      <c r="B14" s="1" t="s">
        <v>155</v>
      </c>
      <c r="C14" s="12" t="s">
        <v>650</v>
      </c>
      <c r="D14" s="12"/>
      <c r="E14" s="12"/>
      <c r="F14" s="12"/>
      <c r="G14" s="3" t="s">
        <v>647</v>
      </c>
      <c r="H14" s="4">
        <v>1</v>
      </c>
      <c r="I14" s="144">
        <f t="shared" si="0"/>
        <v>5</v>
      </c>
      <c r="J14" s="146">
        <v>5</v>
      </c>
      <c r="K14" s="5">
        <f t="shared" si="1"/>
        <v>0</v>
      </c>
    </row>
    <row r="15" spans="1:21" x14ac:dyDescent="0.3">
      <c r="A15" s="1" t="s">
        <v>660</v>
      </c>
      <c r="B15" s="1" t="s">
        <v>155</v>
      </c>
      <c r="C15" s="2" t="s">
        <v>650</v>
      </c>
      <c r="D15" s="2"/>
      <c r="E15" s="2"/>
      <c r="F15" s="2" t="s">
        <v>661</v>
      </c>
      <c r="G15" s="3" t="s">
        <v>647</v>
      </c>
      <c r="H15" s="4">
        <v>1</v>
      </c>
      <c r="I15" s="144">
        <f t="shared" si="0"/>
        <v>8</v>
      </c>
      <c r="J15" s="145">
        <v>8</v>
      </c>
      <c r="K15" s="5">
        <f t="shared" si="1"/>
        <v>0</v>
      </c>
    </row>
    <row r="16" spans="1:21" x14ac:dyDescent="0.3">
      <c r="A16" s="1" t="s">
        <v>662</v>
      </c>
      <c r="B16" s="1" t="s">
        <v>211</v>
      </c>
      <c r="C16" s="2" t="s">
        <v>650</v>
      </c>
      <c r="D16" s="2"/>
      <c r="E16" s="2"/>
      <c r="F16" s="2"/>
      <c r="G16" s="3" t="s">
        <v>647</v>
      </c>
      <c r="H16" s="4">
        <v>1</v>
      </c>
      <c r="I16" s="144">
        <f t="shared" si="0"/>
        <v>7</v>
      </c>
      <c r="J16" s="145">
        <v>7</v>
      </c>
      <c r="K16" s="5">
        <f t="shared" si="1"/>
        <v>0</v>
      </c>
    </row>
    <row r="17" spans="1:14" x14ac:dyDescent="0.3">
      <c r="A17" s="10" t="s">
        <v>663</v>
      </c>
      <c r="B17" s="1" t="s">
        <v>206</v>
      </c>
      <c r="C17" s="12" t="s">
        <v>650</v>
      </c>
      <c r="D17" s="12"/>
      <c r="E17" s="12"/>
      <c r="F17" s="12"/>
      <c r="G17" s="3" t="s">
        <v>647</v>
      </c>
      <c r="H17" s="4">
        <v>1</v>
      </c>
      <c r="I17" s="144">
        <f t="shared" si="0"/>
        <v>10</v>
      </c>
      <c r="J17" s="146">
        <v>9</v>
      </c>
      <c r="K17" s="5">
        <f t="shared" si="1"/>
        <v>1</v>
      </c>
      <c r="N17">
        <v>1</v>
      </c>
    </row>
    <row r="18" spans="1:14" x14ac:dyDescent="0.3">
      <c r="A18" s="1" t="s">
        <v>664</v>
      </c>
      <c r="B18" s="1" t="s">
        <v>206</v>
      </c>
      <c r="C18" s="2"/>
      <c r="D18" s="2" t="s">
        <v>646</v>
      </c>
      <c r="E18" s="2"/>
      <c r="F18" s="2"/>
      <c r="G18" s="3" t="s">
        <v>647</v>
      </c>
      <c r="H18" s="4">
        <v>1</v>
      </c>
      <c r="I18" s="144">
        <f t="shared" si="0"/>
        <v>8</v>
      </c>
      <c r="J18" s="145">
        <v>8</v>
      </c>
      <c r="K18" s="5">
        <f t="shared" si="1"/>
        <v>0</v>
      </c>
    </row>
    <row r="19" spans="1:14" x14ac:dyDescent="0.3">
      <c r="A19" s="10" t="s">
        <v>665</v>
      </c>
      <c r="B19" s="1" t="s">
        <v>206</v>
      </c>
      <c r="C19" s="12" t="s">
        <v>650</v>
      </c>
      <c r="D19" s="12"/>
      <c r="E19" s="12"/>
      <c r="F19" s="12"/>
      <c r="G19" s="3"/>
      <c r="H19" s="4"/>
      <c r="I19" s="144">
        <f t="shared" si="0"/>
        <v>1</v>
      </c>
      <c r="J19" s="146">
        <v>1</v>
      </c>
      <c r="K19" s="5">
        <f t="shared" si="1"/>
        <v>0</v>
      </c>
    </row>
    <row r="20" spans="1:14" x14ac:dyDescent="0.3">
      <c r="A20" s="1" t="s">
        <v>666</v>
      </c>
      <c r="B20" s="1" t="s">
        <v>206</v>
      </c>
      <c r="C20" s="2" t="s">
        <v>650</v>
      </c>
      <c r="D20" s="2"/>
      <c r="E20" s="2"/>
      <c r="F20" s="2"/>
      <c r="G20" s="3" t="s">
        <v>647</v>
      </c>
      <c r="H20" s="4">
        <v>1</v>
      </c>
      <c r="I20" s="144">
        <f t="shared" si="0"/>
        <v>4</v>
      </c>
      <c r="J20" s="145">
        <v>4</v>
      </c>
      <c r="K20" s="5">
        <f t="shared" si="1"/>
        <v>0</v>
      </c>
    </row>
    <row r="21" spans="1:14" x14ac:dyDescent="0.3">
      <c r="A21" s="1" t="s">
        <v>667</v>
      </c>
      <c r="B21" s="1" t="s">
        <v>206</v>
      </c>
      <c r="C21" s="6" t="s">
        <v>650</v>
      </c>
      <c r="D21" s="6"/>
      <c r="E21" s="6"/>
      <c r="F21" s="6"/>
      <c r="G21" s="3" t="s">
        <v>647</v>
      </c>
      <c r="H21" s="4">
        <v>1</v>
      </c>
      <c r="I21" s="144">
        <f t="shared" si="0"/>
        <v>16</v>
      </c>
      <c r="J21" s="145">
        <v>15</v>
      </c>
      <c r="K21" s="5">
        <f t="shared" si="1"/>
        <v>1</v>
      </c>
      <c r="M21">
        <v>1</v>
      </c>
    </row>
    <row r="22" spans="1:14" x14ac:dyDescent="0.3">
      <c r="A22" s="1" t="s">
        <v>668</v>
      </c>
      <c r="B22" s="1" t="s">
        <v>206</v>
      </c>
      <c r="C22" s="2"/>
      <c r="D22" s="2" t="s">
        <v>646</v>
      </c>
      <c r="E22" s="2"/>
      <c r="F22" s="2" t="s">
        <v>661</v>
      </c>
      <c r="G22" s="3">
        <v>1</v>
      </c>
      <c r="H22" s="4"/>
      <c r="I22" s="144">
        <f t="shared" si="0"/>
        <v>3</v>
      </c>
      <c r="J22" s="145">
        <v>3</v>
      </c>
      <c r="K22" s="5">
        <f t="shared" si="1"/>
        <v>0</v>
      </c>
    </row>
    <row r="23" spans="1:14" x14ac:dyDescent="0.3">
      <c r="A23" s="1" t="s">
        <v>669</v>
      </c>
      <c r="B23" s="1" t="s">
        <v>206</v>
      </c>
      <c r="C23" s="2" t="s">
        <v>650</v>
      </c>
      <c r="D23" s="2"/>
      <c r="E23" s="2"/>
      <c r="F23" s="2"/>
      <c r="G23" s="3"/>
      <c r="H23" s="4">
        <v>3</v>
      </c>
      <c r="I23" s="144">
        <f t="shared" si="0"/>
        <v>41</v>
      </c>
      <c r="J23" s="145">
        <v>39</v>
      </c>
      <c r="K23" s="5">
        <f t="shared" si="1"/>
        <v>2</v>
      </c>
      <c r="L23">
        <v>1</v>
      </c>
      <c r="N23">
        <v>1</v>
      </c>
    </row>
    <row r="24" spans="1:14" x14ac:dyDescent="0.3">
      <c r="A24" s="10" t="s">
        <v>670</v>
      </c>
      <c r="B24" s="1" t="s">
        <v>203</v>
      </c>
      <c r="C24" s="12" t="s">
        <v>650</v>
      </c>
      <c r="D24" s="12"/>
      <c r="E24" s="12"/>
      <c r="F24" s="12"/>
      <c r="G24" s="3" t="s">
        <v>647</v>
      </c>
      <c r="H24" s="4">
        <v>1</v>
      </c>
      <c r="I24" s="144">
        <f t="shared" si="0"/>
        <v>1</v>
      </c>
      <c r="J24" s="146">
        <v>1</v>
      </c>
      <c r="K24" s="5">
        <f t="shared" si="1"/>
        <v>0</v>
      </c>
    </row>
    <row r="25" spans="1:14" x14ac:dyDescent="0.3">
      <c r="A25" s="10" t="s">
        <v>671</v>
      </c>
      <c r="B25" s="1" t="s">
        <v>203</v>
      </c>
      <c r="C25" s="12"/>
      <c r="D25" s="12"/>
      <c r="E25" s="12" t="s">
        <v>644</v>
      </c>
      <c r="F25" s="12"/>
      <c r="G25" s="3" t="s">
        <v>647</v>
      </c>
      <c r="H25" s="4">
        <v>1</v>
      </c>
      <c r="I25" s="144">
        <f t="shared" si="0"/>
        <v>2</v>
      </c>
      <c r="J25" s="146">
        <v>2</v>
      </c>
      <c r="K25" s="5">
        <f t="shared" si="1"/>
        <v>0</v>
      </c>
    </row>
    <row r="26" spans="1:14" x14ac:dyDescent="0.3">
      <c r="A26" s="1" t="s">
        <v>672</v>
      </c>
      <c r="B26" s="1" t="s">
        <v>181</v>
      </c>
      <c r="C26" s="6" t="s">
        <v>650</v>
      </c>
      <c r="D26" s="6"/>
      <c r="E26" s="6"/>
      <c r="F26" s="6"/>
      <c r="G26" s="3" t="s">
        <v>647</v>
      </c>
      <c r="H26" s="4">
        <v>1</v>
      </c>
      <c r="I26" s="144">
        <f t="shared" si="0"/>
        <v>3</v>
      </c>
      <c r="J26" s="145">
        <v>3</v>
      </c>
      <c r="K26" s="5">
        <f t="shared" si="1"/>
        <v>0</v>
      </c>
    </row>
    <row r="27" spans="1:14" x14ac:dyDescent="0.3">
      <c r="A27" s="1" t="s">
        <v>673</v>
      </c>
      <c r="B27" s="1" t="s">
        <v>181</v>
      </c>
      <c r="C27" s="6" t="s">
        <v>650</v>
      </c>
      <c r="D27" s="6" t="s">
        <v>646</v>
      </c>
      <c r="E27" s="6" t="s">
        <v>644</v>
      </c>
      <c r="F27" s="6" t="s">
        <v>674</v>
      </c>
      <c r="G27" s="3" t="s">
        <v>644</v>
      </c>
      <c r="H27" s="4">
        <v>4</v>
      </c>
      <c r="I27" s="144">
        <f t="shared" si="0"/>
        <v>30</v>
      </c>
      <c r="J27" s="145">
        <v>30</v>
      </c>
      <c r="K27" s="5">
        <f t="shared" si="1"/>
        <v>0</v>
      </c>
    </row>
    <row r="28" spans="1:14" x14ac:dyDescent="0.3">
      <c r="A28" s="1" t="s">
        <v>675</v>
      </c>
      <c r="B28" s="1" t="s">
        <v>181</v>
      </c>
      <c r="C28" s="6" t="s">
        <v>650</v>
      </c>
      <c r="D28" s="6" t="s">
        <v>646</v>
      </c>
      <c r="E28" s="6" t="s">
        <v>644</v>
      </c>
      <c r="F28" s="6"/>
      <c r="G28" s="3"/>
      <c r="H28" s="4"/>
      <c r="I28" s="144">
        <f t="shared" si="0"/>
        <v>13</v>
      </c>
      <c r="J28" s="145">
        <v>13</v>
      </c>
      <c r="K28" s="5">
        <f t="shared" si="1"/>
        <v>0</v>
      </c>
    </row>
    <row r="29" spans="1:14" x14ac:dyDescent="0.3">
      <c r="A29" s="1" t="s">
        <v>676</v>
      </c>
      <c r="B29" s="1" t="s">
        <v>677</v>
      </c>
      <c r="C29" s="2" t="s">
        <v>650</v>
      </c>
      <c r="D29" s="2" t="s">
        <v>646</v>
      </c>
      <c r="E29" s="2"/>
      <c r="F29" s="2"/>
      <c r="G29" s="3"/>
      <c r="H29" s="4"/>
      <c r="I29" s="144">
        <f t="shared" si="0"/>
        <v>17</v>
      </c>
      <c r="J29" s="145">
        <v>17</v>
      </c>
      <c r="K29" s="5">
        <f t="shared" si="1"/>
        <v>0</v>
      </c>
    </row>
    <row r="30" spans="1:14" x14ac:dyDescent="0.3">
      <c r="A30" s="10" t="s">
        <v>678</v>
      </c>
      <c r="B30" s="1" t="s">
        <v>677</v>
      </c>
      <c r="C30" s="12"/>
      <c r="D30" s="12" t="s">
        <v>646</v>
      </c>
      <c r="E30" s="12"/>
      <c r="F30" s="12"/>
      <c r="G30" s="3" t="s">
        <v>647</v>
      </c>
      <c r="H30" s="4">
        <v>1</v>
      </c>
      <c r="I30" s="144">
        <f t="shared" si="0"/>
        <v>1</v>
      </c>
      <c r="J30" s="146">
        <v>1</v>
      </c>
      <c r="K30" s="5">
        <f t="shared" si="1"/>
        <v>0</v>
      </c>
    </row>
    <row r="31" spans="1:14" x14ac:dyDescent="0.3">
      <c r="A31" s="1" t="s">
        <v>679</v>
      </c>
      <c r="B31" s="1" t="s">
        <v>677</v>
      </c>
      <c r="C31" s="2" t="s">
        <v>650</v>
      </c>
      <c r="D31" s="2"/>
      <c r="E31" s="2"/>
      <c r="F31" s="2"/>
      <c r="G31" s="3" t="s">
        <v>647</v>
      </c>
      <c r="H31" s="4">
        <v>1</v>
      </c>
      <c r="I31" s="144">
        <f t="shared" si="0"/>
        <v>1</v>
      </c>
      <c r="J31" s="145">
        <v>1</v>
      </c>
      <c r="K31" s="5">
        <f t="shared" si="1"/>
        <v>0</v>
      </c>
    </row>
    <row r="32" spans="1:14" x14ac:dyDescent="0.3">
      <c r="A32" s="10" t="s">
        <v>680</v>
      </c>
      <c r="B32" s="1" t="s">
        <v>358</v>
      </c>
      <c r="C32" s="12" t="s">
        <v>650</v>
      </c>
      <c r="D32" s="12"/>
      <c r="E32" s="12"/>
      <c r="F32" s="12"/>
      <c r="G32" s="3" t="s">
        <v>647</v>
      </c>
      <c r="H32" s="4">
        <v>1</v>
      </c>
      <c r="I32" s="144">
        <f t="shared" si="0"/>
        <v>8</v>
      </c>
      <c r="J32" s="146">
        <v>8</v>
      </c>
      <c r="K32" s="5">
        <f t="shared" si="1"/>
        <v>0</v>
      </c>
    </row>
    <row r="33" spans="1:14" x14ac:dyDescent="0.3">
      <c r="A33" s="10" t="s">
        <v>681</v>
      </c>
      <c r="B33" s="1" t="s">
        <v>201</v>
      </c>
      <c r="C33" s="12" t="s">
        <v>650</v>
      </c>
      <c r="D33" s="12" t="s">
        <v>646</v>
      </c>
      <c r="E33" s="12"/>
      <c r="F33" s="12"/>
      <c r="G33" s="3"/>
      <c r="H33" s="4">
        <v>2</v>
      </c>
      <c r="I33" s="144">
        <f t="shared" si="0"/>
        <v>1</v>
      </c>
      <c r="J33" s="146">
        <v>1</v>
      </c>
      <c r="K33" s="5">
        <f t="shared" si="1"/>
        <v>0</v>
      </c>
    </row>
    <row r="34" spans="1:14" x14ac:dyDescent="0.3">
      <c r="A34" s="1" t="s">
        <v>682</v>
      </c>
      <c r="B34" s="1" t="s">
        <v>201</v>
      </c>
      <c r="C34" s="2" t="s">
        <v>650</v>
      </c>
      <c r="D34" s="2" t="s">
        <v>646</v>
      </c>
      <c r="E34" s="2" t="s">
        <v>644</v>
      </c>
      <c r="F34" s="2"/>
      <c r="G34" s="3"/>
      <c r="H34" s="4"/>
      <c r="I34" s="144">
        <f t="shared" si="0"/>
        <v>19</v>
      </c>
      <c r="J34" s="145">
        <v>18</v>
      </c>
      <c r="K34" s="5">
        <f t="shared" si="1"/>
        <v>1</v>
      </c>
      <c r="N34">
        <v>1</v>
      </c>
    </row>
    <row r="35" spans="1:14" x14ac:dyDescent="0.3">
      <c r="A35" s="1" t="s">
        <v>683</v>
      </c>
      <c r="B35" s="1" t="s">
        <v>201</v>
      </c>
      <c r="C35" s="2" t="s">
        <v>650</v>
      </c>
      <c r="D35" s="2" t="s">
        <v>646</v>
      </c>
      <c r="E35" s="2"/>
      <c r="F35" s="2"/>
      <c r="G35" s="3"/>
      <c r="H35" s="4"/>
      <c r="I35" s="144">
        <f t="shared" ref="I35:I66" si="2">J35+K35</f>
        <v>24</v>
      </c>
      <c r="J35" s="145">
        <v>24</v>
      </c>
      <c r="K35" s="5">
        <f t="shared" ref="K35:K66" si="3">SUM(L35:U35)</f>
        <v>0</v>
      </c>
    </row>
    <row r="36" spans="1:14" x14ac:dyDescent="0.3">
      <c r="A36" s="1" t="s">
        <v>684</v>
      </c>
      <c r="B36" s="1" t="s">
        <v>201</v>
      </c>
      <c r="C36" s="2"/>
      <c r="D36" s="2"/>
      <c r="E36" s="2" t="s">
        <v>644</v>
      </c>
      <c r="F36" s="2"/>
      <c r="G36" s="3"/>
      <c r="H36" s="4"/>
      <c r="I36" s="144">
        <f t="shared" si="2"/>
        <v>2</v>
      </c>
      <c r="J36" s="145">
        <v>2</v>
      </c>
      <c r="K36" s="5">
        <f t="shared" si="3"/>
        <v>0</v>
      </c>
    </row>
    <row r="37" spans="1:14" x14ac:dyDescent="0.3">
      <c r="A37" s="10" t="s">
        <v>685</v>
      </c>
      <c r="B37" s="1" t="s">
        <v>201</v>
      </c>
      <c r="C37" s="12" t="s">
        <v>650</v>
      </c>
      <c r="D37" s="12"/>
      <c r="E37" s="12"/>
      <c r="F37" s="12"/>
      <c r="G37" s="3"/>
      <c r="H37" s="4"/>
      <c r="I37" s="144">
        <f t="shared" si="2"/>
        <v>1</v>
      </c>
      <c r="J37" s="146">
        <v>1</v>
      </c>
      <c r="K37" s="5">
        <f t="shared" si="3"/>
        <v>0</v>
      </c>
    </row>
    <row r="38" spans="1:14" x14ac:dyDescent="0.3">
      <c r="A38" s="1" t="s">
        <v>686</v>
      </c>
      <c r="B38" s="1" t="s">
        <v>179</v>
      </c>
      <c r="C38" s="2"/>
      <c r="D38" s="2" t="s">
        <v>646</v>
      </c>
      <c r="E38" s="2"/>
      <c r="F38" s="2"/>
      <c r="G38" s="3" t="s">
        <v>644</v>
      </c>
      <c r="H38" s="4">
        <v>3</v>
      </c>
      <c r="I38" s="144">
        <f t="shared" si="2"/>
        <v>59</v>
      </c>
      <c r="J38" s="145">
        <v>57</v>
      </c>
      <c r="K38" s="5">
        <f t="shared" si="3"/>
        <v>2</v>
      </c>
      <c r="L38">
        <v>1</v>
      </c>
      <c r="M38">
        <v>1</v>
      </c>
    </row>
    <row r="39" spans="1:14" x14ac:dyDescent="0.3">
      <c r="A39" s="10" t="s">
        <v>687</v>
      </c>
      <c r="B39" s="1" t="s">
        <v>232</v>
      </c>
      <c r="C39" s="12"/>
      <c r="D39" s="12"/>
      <c r="E39" s="12" t="s">
        <v>644</v>
      </c>
      <c r="F39" s="12"/>
      <c r="G39" s="3"/>
      <c r="H39" s="4">
        <v>1</v>
      </c>
      <c r="I39" s="144">
        <f t="shared" si="2"/>
        <v>1</v>
      </c>
      <c r="J39" s="146">
        <v>1</v>
      </c>
      <c r="K39" s="5">
        <f t="shared" si="3"/>
        <v>0</v>
      </c>
    </row>
    <row r="40" spans="1:14" x14ac:dyDescent="0.3">
      <c r="A40" s="10" t="s">
        <v>688</v>
      </c>
      <c r="B40" s="1" t="s">
        <v>232</v>
      </c>
      <c r="C40" s="12"/>
      <c r="D40" s="12"/>
      <c r="E40" s="12" t="s">
        <v>644</v>
      </c>
      <c r="F40" s="12" t="s">
        <v>661</v>
      </c>
      <c r="G40" s="3"/>
      <c r="H40" s="4"/>
      <c r="I40" s="144">
        <f t="shared" si="2"/>
        <v>7</v>
      </c>
      <c r="J40" s="146">
        <v>6</v>
      </c>
      <c r="K40" s="5">
        <f t="shared" si="3"/>
        <v>1</v>
      </c>
      <c r="M40">
        <v>1</v>
      </c>
    </row>
    <row r="41" spans="1:14" x14ac:dyDescent="0.3">
      <c r="A41" s="1" t="s">
        <v>689</v>
      </c>
      <c r="B41" s="1" t="s">
        <v>232</v>
      </c>
      <c r="C41" s="2"/>
      <c r="D41" s="2"/>
      <c r="E41" s="2" t="s">
        <v>644</v>
      </c>
      <c r="F41" s="2"/>
      <c r="G41" s="3"/>
      <c r="H41" s="4"/>
      <c r="I41" s="144">
        <f t="shared" si="2"/>
        <v>7</v>
      </c>
      <c r="J41" s="145">
        <v>6</v>
      </c>
      <c r="K41" s="5">
        <f t="shared" si="3"/>
        <v>1</v>
      </c>
      <c r="N41">
        <v>1</v>
      </c>
    </row>
    <row r="42" spans="1:14" x14ac:dyDescent="0.3">
      <c r="A42" s="1" t="s">
        <v>690</v>
      </c>
      <c r="B42" s="1" t="s">
        <v>232</v>
      </c>
      <c r="C42" s="2"/>
      <c r="D42" s="2"/>
      <c r="E42" s="2" t="s">
        <v>644</v>
      </c>
      <c r="F42" s="2"/>
      <c r="G42" s="3"/>
      <c r="H42" s="4"/>
      <c r="I42" s="144">
        <f t="shared" si="2"/>
        <v>2</v>
      </c>
      <c r="J42" s="145">
        <v>1</v>
      </c>
      <c r="K42" s="5">
        <f t="shared" si="3"/>
        <v>1</v>
      </c>
      <c r="L42">
        <v>1</v>
      </c>
    </row>
    <row r="43" spans="1:14" x14ac:dyDescent="0.3">
      <c r="A43" s="1" t="s">
        <v>691</v>
      </c>
      <c r="B43" s="1" t="s">
        <v>692</v>
      </c>
      <c r="C43" s="6"/>
      <c r="D43" s="6"/>
      <c r="E43" s="6" t="s">
        <v>644</v>
      </c>
      <c r="F43" s="6"/>
      <c r="G43" s="3" t="s">
        <v>647</v>
      </c>
      <c r="H43" s="4">
        <v>1</v>
      </c>
      <c r="I43" s="144">
        <f t="shared" si="2"/>
        <v>2</v>
      </c>
      <c r="J43" s="145">
        <v>2</v>
      </c>
      <c r="K43" s="5">
        <f t="shared" si="3"/>
        <v>0</v>
      </c>
    </row>
    <row r="44" spans="1:14" x14ac:dyDescent="0.3">
      <c r="A44" s="10" t="s">
        <v>693</v>
      </c>
      <c r="B44" s="1" t="s">
        <v>692</v>
      </c>
      <c r="C44" s="12"/>
      <c r="D44" s="12"/>
      <c r="E44" s="12" t="s">
        <v>644</v>
      </c>
      <c r="F44" s="12"/>
      <c r="G44" s="3"/>
      <c r="H44" s="4">
        <v>2</v>
      </c>
      <c r="I44" s="144">
        <f t="shared" si="2"/>
        <v>12</v>
      </c>
      <c r="J44" s="146">
        <v>11</v>
      </c>
      <c r="K44" s="5">
        <f t="shared" si="3"/>
        <v>1</v>
      </c>
      <c r="L44">
        <v>1</v>
      </c>
    </row>
    <row r="45" spans="1:14" x14ac:dyDescent="0.3">
      <c r="A45" s="10" t="s">
        <v>694</v>
      </c>
      <c r="B45" s="11" t="s">
        <v>692</v>
      </c>
      <c r="C45" s="13"/>
      <c r="D45" s="13"/>
      <c r="E45" s="13" t="s">
        <v>644</v>
      </c>
      <c r="F45" s="13"/>
      <c r="G45" s="3"/>
      <c r="H45" s="4"/>
      <c r="I45" s="144">
        <f t="shared" si="2"/>
        <v>11</v>
      </c>
      <c r="J45" s="146">
        <v>11</v>
      </c>
      <c r="K45" s="5">
        <f t="shared" si="3"/>
        <v>0</v>
      </c>
    </row>
    <row r="46" spans="1:14" x14ac:dyDescent="0.3">
      <c r="A46" s="10" t="s">
        <v>695</v>
      </c>
      <c r="B46" s="11" t="s">
        <v>692</v>
      </c>
      <c r="C46" s="12"/>
      <c r="D46" s="12"/>
      <c r="E46" s="12"/>
      <c r="F46" s="12" t="s">
        <v>661</v>
      </c>
      <c r="G46" s="3"/>
      <c r="H46" s="4">
        <v>1</v>
      </c>
      <c r="I46" s="144">
        <f t="shared" si="2"/>
        <v>7</v>
      </c>
      <c r="J46" s="146">
        <v>7</v>
      </c>
      <c r="K46" s="5">
        <f t="shared" si="3"/>
        <v>0</v>
      </c>
    </row>
    <row r="47" spans="1:14" x14ac:dyDescent="0.3">
      <c r="A47" s="10" t="s">
        <v>696</v>
      </c>
      <c r="B47" s="11" t="s">
        <v>692</v>
      </c>
      <c r="C47" s="13"/>
      <c r="D47" s="13"/>
      <c r="E47" s="13" t="s">
        <v>644</v>
      </c>
      <c r="F47" s="13"/>
      <c r="G47" s="3" t="s">
        <v>647</v>
      </c>
      <c r="H47" s="4">
        <v>1</v>
      </c>
      <c r="I47" s="144">
        <f t="shared" si="2"/>
        <v>7</v>
      </c>
      <c r="J47" s="146">
        <v>6</v>
      </c>
      <c r="K47" s="5">
        <f t="shared" si="3"/>
        <v>1</v>
      </c>
      <c r="M47">
        <v>1</v>
      </c>
    </row>
    <row r="48" spans="1:14" x14ac:dyDescent="0.3">
      <c r="A48" s="10" t="s">
        <v>697</v>
      </c>
      <c r="B48" s="11" t="s">
        <v>698</v>
      </c>
      <c r="C48" s="13"/>
      <c r="D48" s="13"/>
      <c r="E48" s="13" t="s">
        <v>644</v>
      </c>
      <c r="F48" s="13"/>
      <c r="G48" s="3" t="s">
        <v>644</v>
      </c>
      <c r="H48" s="4">
        <v>3</v>
      </c>
      <c r="I48" s="144">
        <f t="shared" si="2"/>
        <v>1</v>
      </c>
      <c r="J48" s="146">
        <v>1</v>
      </c>
      <c r="K48" s="5">
        <f t="shared" si="3"/>
        <v>0</v>
      </c>
    </row>
    <row r="49" spans="1:14" x14ac:dyDescent="0.3">
      <c r="A49" s="10" t="s">
        <v>699</v>
      </c>
      <c r="B49" s="1" t="s">
        <v>698</v>
      </c>
      <c r="C49" s="12"/>
      <c r="D49" s="12"/>
      <c r="E49" s="12"/>
      <c r="F49" s="12"/>
      <c r="G49" s="3" t="s">
        <v>644</v>
      </c>
      <c r="H49" s="4">
        <v>3</v>
      </c>
      <c r="I49" s="144">
        <f t="shared" si="2"/>
        <v>1</v>
      </c>
      <c r="J49" s="146">
        <v>1</v>
      </c>
      <c r="K49" s="5">
        <f t="shared" si="3"/>
        <v>0</v>
      </c>
    </row>
    <row r="50" spans="1:14" x14ac:dyDescent="0.3">
      <c r="A50" s="10" t="s">
        <v>700</v>
      </c>
      <c r="B50" s="1" t="s">
        <v>213</v>
      </c>
      <c r="C50" s="12"/>
      <c r="D50" s="12"/>
      <c r="E50" s="12" t="s">
        <v>644</v>
      </c>
      <c r="F50" s="12"/>
      <c r="G50" s="3"/>
      <c r="H50" s="4"/>
      <c r="I50" s="144">
        <f t="shared" si="2"/>
        <v>1</v>
      </c>
      <c r="J50" s="146">
        <v>1</v>
      </c>
      <c r="K50" s="5">
        <f t="shared" si="3"/>
        <v>0</v>
      </c>
    </row>
    <row r="51" spans="1:14" x14ac:dyDescent="0.3">
      <c r="A51" s="10" t="s">
        <v>701</v>
      </c>
      <c r="B51" s="1" t="s">
        <v>702</v>
      </c>
      <c r="C51" s="12"/>
      <c r="D51" s="12" t="s">
        <v>646</v>
      </c>
      <c r="E51" s="12"/>
      <c r="F51" s="12" t="s">
        <v>661</v>
      </c>
      <c r="G51" s="3"/>
      <c r="H51" s="4">
        <v>2</v>
      </c>
      <c r="I51" s="144">
        <f t="shared" si="2"/>
        <v>1</v>
      </c>
      <c r="J51" s="146">
        <v>1</v>
      </c>
      <c r="K51" s="5">
        <f t="shared" si="3"/>
        <v>0</v>
      </c>
    </row>
    <row r="52" spans="1:14" x14ac:dyDescent="0.3">
      <c r="A52" s="10" t="s">
        <v>703</v>
      </c>
      <c r="B52" s="11" t="s">
        <v>704</v>
      </c>
      <c r="C52" s="13"/>
      <c r="D52" s="13"/>
      <c r="E52" s="13" t="s">
        <v>644</v>
      </c>
      <c r="F52" s="13"/>
      <c r="G52" s="3"/>
      <c r="H52" s="4"/>
      <c r="I52" s="144">
        <f t="shared" si="2"/>
        <v>31</v>
      </c>
      <c r="J52" s="146">
        <v>29</v>
      </c>
      <c r="K52" s="5">
        <f t="shared" si="3"/>
        <v>2</v>
      </c>
      <c r="L52">
        <v>1</v>
      </c>
      <c r="N52">
        <v>1</v>
      </c>
    </row>
    <row r="53" spans="1:14" x14ac:dyDescent="0.3">
      <c r="A53" s="10" t="s">
        <v>705</v>
      </c>
      <c r="B53" s="11" t="s">
        <v>192</v>
      </c>
      <c r="C53" s="12"/>
      <c r="D53" s="12" t="s">
        <v>646</v>
      </c>
      <c r="E53" s="12"/>
      <c r="F53" s="12"/>
      <c r="G53" s="3"/>
      <c r="H53" s="4"/>
      <c r="I53" s="144">
        <f t="shared" si="2"/>
        <v>24</v>
      </c>
      <c r="J53" s="146">
        <v>24</v>
      </c>
      <c r="K53" s="5">
        <f t="shared" si="3"/>
        <v>0</v>
      </c>
    </row>
    <row r="54" spans="1:14" x14ac:dyDescent="0.3">
      <c r="A54" s="10" t="s">
        <v>706</v>
      </c>
      <c r="B54" s="11" t="s">
        <v>192</v>
      </c>
      <c r="C54" s="12" t="s">
        <v>650</v>
      </c>
      <c r="D54" s="12"/>
      <c r="E54" s="12"/>
      <c r="F54" s="12"/>
      <c r="G54" s="3">
        <v>3</v>
      </c>
      <c r="H54" s="4"/>
      <c r="I54" s="144">
        <f t="shared" si="2"/>
        <v>1</v>
      </c>
      <c r="J54" s="146">
        <v>1</v>
      </c>
      <c r="K54" s="5">
        <f t="shared" si="3"/>
        <v>0</v>
      </c>
    </row>
    <row r="55" spans="1:14" x14ac:dyDescent="0.3">
      <c r="A55" s="10" t="s">
        <v>707</v>
      </c>
      <c r="B55" s="1" t="s">
        <v>167</v>
      </c>
      <c r="C55" s="12"/>
      <c r="D55" s="12" t="s">
        <v>646</v>
      </c>
      <c r="E55" s="12"/>
      <c r="F55" s="12"/>
      <c r="G55" s="3" t="s">
        <v>647</v>
      </c>
      <c r="H55" s="4">
        <v>2</v>
      </c>
      <c r="I55" s="144">
        <f t="shared" si="2"/>
        <v>1</v>
      </c>
      <c r="J55" s="146">
        <v>1</v>
      </c>
      <c r="K55" s="5">
        <f t="shared" si="3"/>
        <v>0</v>
      </c>
    </row>
    <row r="56" spans="1:14" x14ac:dyDescent="0.3">
      <c r="A56" s="10" t="s">
        <v>708</v>
      </c>
      <c r="B56" s="11" t="s">
        <v>167</v>
      </c>
      <c r="C56" s="12"/>
      <c r="D56" s="12" t="s">
        <v>646</v>
      </c>
      <c r="E56" s="12"/>
      <c r="F56" s="12" t="s">
        <v>661</v>
      </c>
      <c r="G56" s="3"/>
      <c r="H56" s="4">
        <v>1</v>
      </c>
      <c r="I56" s="144">
        <f t="shared" si="2"/>
        <v>2</v>
      </c>
      <c r="J56" s="146">
        <v>2</v>
      </c>
      <c r="K56" s="5">
        <f t="shared" si="3"/>
        <v>0</v>
      </c>
    </row>
    <row r="57" spans="1:14" x14ac:dyDescent="0.3">
      <c r="A57" s="10" t="s">
        <v>709</v>
      </c>
      <c r="B57" s="11" t="s">
        <v>167</v>
      </c>
      <c r="C57" s="12" t="s">
        <v>650</v>
      </c>
      <c r="D57" s="12"/>
      <c r="E57" s="12"/>
      <c r="F57" s="12" t="s">
        <v>661</v>
      </c>
      <c r="G57" s="3"/>
      <c r="H57" s="4"/>
      <c r="I57" s="144">
        <f t="shared" si="2"/>
        <v>5</v>
      </c>
      <c r="J57" s="146">
        <v>5</v>
      </c>
      <c r="K57" s="5">
        <f t="shared" si="3"/>
        <v>0</v>
      </c>
    </row>
    <row r="58" spans="1:14" x14ac:dyDescent="0.3">
      <c r="A58" s="195" t="s">
        <v>710</v>
      </c>
      <c r="B58" s="196" t="s">
        <v>167</v>
      </c>
      <c r="C58" s="197"/>
      <c r="D58" s="197" t="s">
        <v>646</v>
      </c>
      <c r="E58" s="197"/>
      <c r="F58" s="197"/>
      <c r="G58" s="7"/>
      <c r="H58" s="8"/>
      <c r="I58" s="144">
        <f t="shared" si="2"/>
        <v>5</v>
      </c>
      <c r="J58" s="198">
        <v>5</v>
      </c>
      <c r="K58" s="9">
        <f t="shared" si="3"/>
        <v>0</v>
      </c>
    </row>
    <row r="59" spans="1:14" x14ac:dyDescent="0.3">
      <c r="A59" s="1" t="s">
        <v>711</v>
      </c>
      <c r="B59" s="1" t="s">
        <v>167</v>
      </c>
      <c r="C59" s="2"/>
      <c r="D59" s="2" t="s">
        <v>646</v>
      </c>
      <c r="E59" s="2"/>
      <c r="F59" s="2" t="s">
        <v>661</v>
      </c>
      <c r="G59" s="3"/>
      <c r="H59" s="4">
        <v>1</v>
      </c>
      <c r="I59" s="144">
        <f t="shared" si="2"/>
        <v>1</v>
      </c>
      <c r="J59" s="145">
        <v>1</v>
      </c>
      <c r="K59" s="5">
        <f t="shared" si="3"/>
        <v>0</v>
      </c>
    </row>
    <row r="60" spans="1:14" x14ac:dyDescent="0.3">
      <c r="A60" s="10" t="s">
        <v>712</v>
      </c>
      <c r="B60" s="1" t="s">
        <v>167</v>
      </c>
      <c r="C60" s="12"/>
      <c r="D60" s="12" t="s">
        <v>646</v>
      </c>
      <c r="E60" s="12"/>
      <c r="F60" s="12"/>
      <c r="G60" s="3"/>
      <c r="H60" s="4">
        <v>1</v>
      </c>
      <c r="I60" s="144">
        <f t="shared" si="2"/>
        <v>1</v>
      </c>
      <c r="J60" s="146">
        <v>1</v>
      </c>
      <c r="K60" s="5">
        <f t="shared" si="3"/>
        <v>0</v>
      </c>
    </row>
    <row r="61" spans="1:14" x14ac:dyDescent="0.3">
      <c r="A61" s="1" t="s">
        <v>713</v>
      </c>
      <c r="B61" s="1" t="s">
        <v>171</v>
      </c>
      <c r="C61" s="6" t="s">
        <v>650</v>
      </c>
      <c r="D61" s="6"/>
      <c r="E61" s="6"/>
      <c r="F61" s="6"/>
      <c r="G61" s="3" t="s">
        <v>644</v>
      </c>
      <c r="H61" s="4">
        <v>1</v>
      </c>
      <c r="I61" s="144">
        <f t="shared" si="2"/>
        <v>10</v>
      </c>
      <c r="J61" s="145">
        <v>9</v>
      </c>
      <c r="K61" s="5">
        <f t="shared" si="3"/>
        <v>1</v>
      </c>
      <c r="N61">
        <v>1</v>
      </c>
    </row>
    <row r="62" spans="1:14" x14ac:dyDescent="0.3">
      <c r="A62" s="1" t="s">
        <v>714</v>
      </c>
      <c r="B62" s="1" t="s">
        <v>171</v>
      </c>
      <c r="C62" s="6" t="s">
        <v>650</v>
      </c>
      <c r="D62" s="6"/>
      <c r="E62" s="6"/>
      <c r="F62" s="6"/>
      <c r="G62" s="3"/>
      <c r="H62" s="4"/>
      <c r="I62" s="144">
        <f t="shared" si="2"/>
        <v>62</v>
      </c>
      <c r="J62" s="145">
        <v>61</v>
      </c>
      <c r="K62" s="5">
        <f t="shared" si="3"/>
        <v>1</v>
      </c>
      <c r="N62">
        <v>1</v>
      </c>
    </row>
    <row r="63" spans="1:14" x14ac:dyDescent="0.3">
      <c r="A63" s="1" t="s">
        <v>715</v>
      </c>
      <c r="B63" s="1" t="s">
        <v>171</v>
      </c>
      <c r="C63" s="2"/>
      <c r="D63" s="2" t="s">
        <v>646</v>
      </c>
      <c r="E63" s="2"/>
      <c r="F63" s="2" t="s">
        <v>661</v>
      </c>
      <c r="G63" s="3"/>
      <c r="H63" s="4">
        <v>1</v>
      </c>
      <c r="I63" s="144">
        <f t="shared" si="2"/>
        <v>3</v>
      </c>
      <c r="J63" s="145">
        <v>3</v>
      </c>
      <c r="K63" s="5">
        <f t="shared" si="3"/>
        <v>0</v>
      </c>
    </row>
    <row r="64" spans="1:14" x14ac:dyDescent="0.3">
      <c r="A64" s="1" t="s">
        <v>716</v>
      </c>
      <c r="B64" s="1" t="s">
        <v>198</v>
      </c>
      <c r="C64" s="6" t="s">
        <v>650</v>
      </c>
      <c r="D64" s="6"/>
      <c r="E64" s="6" t="s">
        <v>644</v>
      </c>
      <c r="F64" s="6"/>
      <c r="G64" s="3"/>
      <c r="H64" s="4">
        <v>1</v>
      </c>
      <c r="I64" s="144">
        <f t="shared" si="2"/>
        <v>1</v>
      </c>
      <c r="J64" s="145"/>
      <c r="K64" s="5">
        <f t="shared" si="3"/>
        <v>1</v>
      </c>
      <c r="L64">
        <v>1</v>
      </c>
    </row>
    <row r="65" spans="1:21" x14ac:dyDescent="0.3">
      <c r="A65" s="10" t="s">
        <v>717</v>
      </c>
      <c r="B65" s="1" t="s">
        <v>162</v>
      </c>
      <c r="C65" s="13" t="s">
        <v>650</v>
      </c>
      <c r="D65" s="13"/>
      <c r="E65" s="13"/>
      <c r="F65" s="13" t="s">
        <v>661</v>
      </c>
      <c r="G65" s="3"/>
      <c r="H65" s="4"/>
      <c r="I65" s="144">
        <f t="shared" si="2"/>
        <v>21</v>
      </c>
      <c r="J65" s="146">
        <v>21</v>
      </c>
      <c r="K65" s="5">
        <f t="shared" si="3"/>
        <v>0</v>
      </c>
    </row>
    <row r="66" spans="1:21" x14ac:dyDescent="0.3">
      <c r="A66" s="1" t="s">
        <v>718</v>
      </c>
      <c r="B66" s="1" t="s">
        <v>162</v>
      </c>
      <c r="C66" s="2"/>
      <c r="D66" s="2" t="s">
        <v>646</v>
      </c>
      <c r="E66" s="2"/>
      <c r="F66" s="2" t="s">
        <v>661</v>
      </c>
      <c r="G66" s="3"/>
      <c r="H66" s="4">
        <v>1</v>
      </c>
      <c r="I66" s="144">
        <f t="shared" si="2"/>
        <v>6</v>
      </c>
      <c r="J66" s="145">
        <v>5</v>
      </c>
      <c r="K66" s="5">
        <f t="shared" si="3"/>
        <v>1</v>
      </c>
      <c r="L66">
        <v>1</v>
      </c>
    </row>
    <row r="67" spans="1:21" x14ac:dyDescent="0.3">
      <c r="A67" s="10" t="s">
        <v>719</v>
      </c>
      <c r="B67" s="1" t="s">
        <v>162</v>
      </c>
      <c r="C67" s="12"/>
      <c r="D67" s="12" t="s">
        <v>646</v>
      </c>
      <c r="E67" s="12"/>
      <c r="F67" s="12" t="s">
        <v>661</v>
      </c>
      <c r="G67" s="3"/>
      <c r="H67" s="4">
        <v>1</v>
      </c>
      <c r="I67" s="144">
        <f t="shared" ref="I67:I73" si="4">J67+K67</f>
        <v>6</v>
      </c>
      <c r="J67" s="146">
        <v>5</v>
      </c>
      <c r="K67" s="5">
        <f t="shared" ref="K67:K76" si="5">SUM(L67:U67)</f>
        <v>1</v>
      </c>
      <c r="L67">
        <v>1</v>
      </c>
    </row>
    <row r="68" spans="1:21" x14ac:dyDescent="0.3">
      <c r="A68" s="10" t="s">
        <v>720</v>
      </c>
      <c r="B68" s="1" t="s">
        <v>162</v>
      </c>
      <c r="C68" s="13" t="s">
        <v>650</v>
      </c>
      <c r="D68" s="13" t="s">
        <v>646</v>
      </c>
      <c r="E68" s="13"/>
      <c r="F68" s="13"/>
      <c r="G68" s="3"/>
      <c r="H68" s="4"/>
      <c r="I68" s="144">
        <f t="shared" si="4"/>
        <v>53</v>
      </c>
      <c r="J68" s="146">
        <v>52</v>
      </c>
      <c r="K68" s="5">
        <f t="shared" si="5"/>
        <v>1</v>
      </c>
      <c r="M68">
        <v>1</v>
      </c>
    </row>
    <row r="69" spans="1:21" x14ac:dyDescent="0.3">
      <c r="A69" s="10" t="s">
        <v>721</v>
      </c>
      <c r="B69" s="1" t="s">
        <v>162</v>
      </c>
      <c r="C69" s="13" t="s">
        <v>650</v>
      </c>
      <c r="D69" s="13"/>
      <c r="E69" s="13"/>
      <c r="F69" s="13"/>
      <c r="G69" s="3" t="s">
        <v>722</v>
      </c>
      <c r="H69" s="4"/>
      <c r="I69" s="144">
        <f t="shared" si="4"/>
        <v>10</v>
      </c>
      <c r="J69" s="146">
        <v>7</v>
      </c>
      <c r="K69" s="5">
        <f t="shared" si="5"/>
        <v>3</v>
      </c>
      <c r="L69">
        <v>1</v>
      </c>
      <c r="M69">
        <v>1</v>
      </c>
      <c r="N69">
        <v>1</v>
      </c>
    </row>
    <row r="70" spans="1:21" x14ac:dyDescent="0.3">
      <c r="A70" s="10" t="s">
        <v>723</v>
      </c>
      <c r="B70" s="1" t="s">
        <v>162</v>
      </c>
      <c r="C70" s="12" t="s">
        <v>650</v>
      </c>
      <c r="D70" s="12"/>
      <c r="E70" s="12"/>
      <c r="F70" s="12" t="s">
        <v>661</v>
      </c>
      <c r="G70" s="3" t="s">
        <v>647</v>
      </c>
      <c r="H70" s="4">
        <v>2</v>
      </c>
      <c r="I70" s="144">
        <f t="shared" si="4"/>
        <v>4</v>
      </c>
      <c r="J70" s="146">
        <v>2</v>
      </c>
      <c r="K70" s="5">
        <f t="shared" si="5"/>
        <v>2</v>
      </c>
      <c r="L70">
        <v>1</v>
      </c>
      <c r="N70">
        <v>1</v>
      </c>
    </row>
    <row r="71" spans="1:21" x14ac:dyDescent="0.3">
      <c r="A71" s="10" t="s">
        <v>724</v>
      </c>
      <c r="B71" s="1" t="s">
        <v>162</v>
      </c>
      <c r="C71" s="12" t="s">
        <v>650</v>
      </c>
      <c r="D71" s="12" t="s">
        <v>646</v>
      </c>
      <c r="E71" s="12"/>
      <c r="F71" s="12"/>
      <c r="G71" s="3" t="s">
        <v>644</v>
      </c>
      <c r="H71" s="4">
        <v>1</v>
      </c>
      <c r="I71" s="144">
        <f t="shared" si="4"/>
        <v>45</v>
      </c>
      <c r="J71" s="146">
        <v>42</v>
      </c>
      <c r="K71" s="5">
        <f t="shared" si="5"/>
        <v>3</v>
      </c>
      <c r="L71">
        <v>1</v>
      </c>
      <c r="M71">
        <v>1</v>
      </c>
      <c r="N71">
        <v>1</v>
      </c>
    </row>
    <row r="72" spans="1:21" x14ac:dyDescent="0.3">
      <c r="A72" s="10" t="s">
        <v>725</v>
      </c>
      <c r="B72" s="1" t="s">
        <v>195</v>
      </c>
      <c r="C72" s="12"/>
      <c r="D72" s="12"/>
      <c r="E72" s="12" t="s">
        <v>644</v>
      </c>
      <c r="F72" s="12"/>
      <c r="G72" s="3" t="s">
        <v>644</v>
      </c>
      <c r="H72" s="4">
        <v>1</v>
      </c>
      <c r="I72" s="144">
        <f t="shared" si="4"/>
        <v>45</v>
      </c>
      <c r="J72" s="146">
        <v>45</v>
      </c>
      <c r="K72" s="5">
        <f t="shared" si="5"/>
        <v>0</v>
      </c>
    </row>
    <row r="73" spans="1:21" x14ac:dyDescent="0.3">
      <c r="A73" s="10" t="s">
        <v>726</v>
      </c>
      <c r="B73" s="1"/>
      <c r="C73" s="12"/>
      <c r="D73" s="12" t="s">
        <v>646</v>
      </c>
      <c r="E73" s="12"/>
      <c r="F73" s="12" t="s">
        <v>661</v>
      </c>
      <c r="G73" s="3"/>
      <c r="H73" s="4">
        <v>1</v>
      </c>
      <c r="I73" s="144">
        <f t="shared" si="4"/>
        <v>1</v>
      </c>
      <c r="J73" s="146">
        <v>1</v>
      </c>
      <c r="K73" s="5">
        <f t="shared" si="5"/>
        <v>0</v>
      </c>
    </row>
    <row r="74" spans="1:21" x14ac:dyDescent="0.3">
      <c r="A74" s="10" t="s">
        <v>801</v>
      </c>
      <c r="B74" s="1" t="s">
        <v>263</v>
      </c>
      <c r="C74" s="13"/>
      <c r="D74" s="13"/>
      <c r="E74" s="12" t="s">
        <v>644</v>
      </c>
      <c r="F74" s="12"/>
      <c r="G74" s="3"/>
      <c r="H74" s="4"/>
      <c r="I74" s="144"/>
      <c r="J74" s="146"/>
      <c r="K74" s="5">
        <f t="shared" si="5"/>
        <v>1</v>
      </c>
      <c r="N74">
        <v>1</v>
      </c>
    </row>
    <row r="75" spans="1:21" x14ac:dyDescent="0.3">
      <c r="A75" s="10"/>
      <c r="B75" s="1"/>
      <c r="C75" s="13"/>
      <c r="D75" s="13"/>
      <c r="E75" s="13"/>
      <c r="F75" s="13"/>
      <c r="G75" s="3"/>
      <c r="H75" s="4"/>
      <c r="I75" s="144"/>
      <c r="J75" s="146"/>
      <c r="K75" s="5">
        <f t="shared" si="5"/>
        <v>0</v>
      </c>
    </row>
    <row r="76" spans="1:21" x14ac:dyDescent="0.3">
      <c r="A76" s="10"/>
      <c r="B76" s="1"/>
      <c r="C76" s="13"/>
      <c r="D76" s="13"/>
      <c r="E76" s="13"/>
      <c r="F76" s="13"/>
      <c r="G76" s="3"/>
      <c r="H76" s="4"/>
      <c r="I76" s="144"/>
      <c r="J76" s="146"/>
      <c r="K76" s="5">
        <f t="shared" si="5"/>
        <v>0</v>
      </c>
    </row>
    <row r="77" spans="1:21" x14ac:dyDescent="0.3">
      <c r="A77" s="15" t="s">
        <v>727</v>
      </c>
      <c r="B77" s="16">
        <f>SUBTOTAL(103,Tabel1[Vereniging])</f>
        <v>72</v>
      </c>
      <c r="C77" s="17"/>
      <c r="D77" s="17"/>
      <c r="E77" s="17"/>
      <c r="F77" s="17"/>
      <c r="G77" s="18"/>
      <c r="H77" s="19"/>
      <c r="I77" s="20"/>
      <c r="J77" s="147">
        <f>SUBTOTAL(103,Tabel1[totaal 2022/2023])</f>
        <v>70</v>
      </c>
      <c r="K77" s="21">
        <f>COUNTIF(Tabel1[aantal],"&gt;0")</f>
        <v>23</v>
      </c>
      <c r="L77">
        <f>SUBTOTAL(103,Tabel1[Tilburg])</f>
        <v>11</v>
      </c>
      <c r="M77">
        <f>SUBTOTAL(103,Tabel1[Klundert])</f>
        <v>9</v>
      </c>
      <c r="N77">
        <f>SUBTOTAL(103,Tabel1[Schiedam])</f>
        <v>12</v>
      </c>
      <c r="O77">
        <f>SUBTOTAL(103,Tabel1[Eefde])</f>
        <v>0</v>
      </c>
      <c r="P77">
        <f>SUBTOTAL(103,Tabel1[Baarn1])</f>
        <v>0</v>
      </c>
      <c r="Q77">
        <f>SUBTOTAL(103,Tabel1[Utrecht])</f>
        <v>0</v>
      </c>
      <c r="R77">
        <f>SUBTOTAL(103,Tabel1[Best])</f>
        <v>0</v>
      </c>
      <c r="S77">
        <f>SUBTOTAL(103,Tabel1[Utrecht2])</f>
        <v>0</v>
      </c>
      <c r="T77">
        <f>SUBTOTAL(103,Tabel1[Baarn2])</f>
        <v>0</v>
      </c>
      <c r="U77">
        <f>SUBTOTAL(103,Tabel1[Lent])</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zoomScale="145" zoomScaleNormal="145" workbookViewId="0">
      <selection activeCell="A2" sqref="A2:C24"/>
    </sheetView>
  </sheetViews>
  <sheetFormatPr defaultRowHeight="14.4" x14ac:dyDescent="0.3"/>
  <cols>
    <col min="1" max="1" width="29.5546875" customWidth="1"/>
    <col min="2" max="2" width="14.33203125" customWidth="1"/>
    <col min="3" max="3" width="42.6640625" customWidth="1"/>
  </cols>
  <sheetData>
    <row r="1" spans="1:3" x14ac:dyDescent="0.3">
      <c r="A1" t="s">
        <v>508</v>
      </c>
      <c r="B1" t="s">
        <v>728</v>
      </c>
      <c r="C1" t="s">
        <v>633</v>
      </c>
    </row>
    <row r="2" spans="1:3" x14ac:dyDescent="0.3">
      <c r="B2" s="159"/>
    </row>
    <row r="3" spans="1:3" x14ac:dyDescent="0.3">
      <c r="A3" s="158"/>
      <c r="B3" s="159"/>
    </row>
    <row r="4" spans="1:3" x14ac:dyDescent="0.3">
      <c r="A4" s="158"/>
      <c r="B4" s="159"/>
    </row>
    <row r="5" spans="1:3" x14ac:dyDescent="0.3">
      <c r="B5" s="159"/>
    </row>
    <row r="6" spans="1:3" x14ac:dyDescent="0.3">
      <c r="B6" s="159"/>
    </row>
    <row r="7" spans="1:3" x14ac:dyDescent="0.3">
      <c r="B7" s="159"/>
    </row>
    <row r="8" spans="1:3" x14ac:dyDescent="0.3">
      <c r="B8" s="159"/>
    </row>
    <row r="9" spans="1:3" x14ac:dyDescent="0.3">
      <c r="B9" s="159"/>
    </row>
    <row r="10" spans="1:3" x14ac:dyDescent="0.3">
      <c r="B10" s="159"/>
    </row>
    <row r="11" spans="1:3" x14ac:dyDescent="0.3">
      <c r="B11" s="159"/>
    </row>
    <row r="12" spans="1:3" x14ac:dyDescent="0.3">
      <c r="B12" s="159"/>
    </row>
    <row r="13" spans="1:3" x14ac:dyDescent="0.3">
      <c r="B13" s="159"/>
    </row>
    <row r="14" spans="1:3" x14ac:dyDescent="0.3">
      <c r="B14" s="159"/>
    </row>
    <row r="15" spans="1:3" x14ac:dyDescent="0.3">
      <c r="B15" s="159"/>
    </row>
    <row r="16" spans="1:3" x14ac:dyDescent="0.3">
      <c r="B16" s="159"/>
    </row>
    <row r="17" spans="2:2" x14ac:dyDescent="0.3">
      <c r="B17" s="159"/>
    </row>
    <row r="18" spans="2:2" x14ac:dyDescent="0.3">
      <c r="B18" s="159"/>
    </row>
    <row r="19" spans="2:2" x14ac:dyDescent="0.3">
      <c r="B19" s="159"/>
    </row>
    <row r="20" spans="2:2" x14ac:dyDescent="0.3">
      <c r="B20" s="159"/>
    </row>
    <row r="21" spans="2:2" x14ac:dyDescent="0.3">
      <c r="B21" s="159"/>
    </row>
    <row r="22" spans="2:2" x14ac:dyDescent="0.3">
      <c r="B22" s="159"/>
    </row>
    <row r="23" spans="2:2" x14ac:dyDescent="0.3">
      <c r="B23" s="159"/>
    </row>
    <row r="24" spans="2:2" x14ac:dyDescent="0.3">
      <c r="B24" s="1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5986-C66A-4D37-920F-258078111ACA}">
  <dimension ref="A1:M67"/>
  <sheetViews>
    <sheetView topLeftCell="A37" workbookViewId="0">
      <selection activeCell="H49" sqref="H49"/>
    </sheetView>
  </sheetViews>
  <sheetFormatPr defaultRowHeight="14.4" x14ac:dyDescent="0.3"/>
  <cols>
    <col min="4" max="4" width="9.33203125" bestFit="1" customWidth="1"/>
    <col min="5" max="5" width="26.44140625" bestFit="1" customWidth="1"/>
    <col min="6" max="6" width="7.88671875" bestFit="1" customWidth="1"/>
    <col min="7" max="7" width="22" bestFit="1" customWidth="1"/>
    <col min="12" max="12" width="8.88671875" style="194"/>
  </cols>
  <sheetData>
    <row r="1" spans="1:13" x14ac:dyDescent="0.3">
      <c r="A1" s="170" t="s">
        <v>63</v>
      </c>
      <c r="B1" s="173" t="s">
        <v>11</v>
      </c>
      <c r="C1" s="173" t="s">
        <v>64</v>
      </c>
      <c r="D1" s="173" t="s">
        <v>65</v>
      </c>
      <c r="E1" s="171" t="s">
        <v>66</v>
      </c>
      <c r="F1" s="173" t="s">
        <v>67</v>
      </c>
      <c r="G1" s="171" t="s">
        <v>68</v>
      </c>
      <c r="H1" s="171" t="s">
        <v>69</v>
      </c>
      <c r="I1" s="171" t="s">
        <v>70</v>
      </c>
      <c r="J1" s="171" t="s">
        <v>71</v>
      </c>
      <c r="K1" s="171" t="s">
        <v>72</v>
      </c>
      <c r="L1" s="192" t="s">
        <v>729</v>
      </c>
      <c r="M1" s="171" t="s">
        <v>730</v>
      </c>
    </row>
    <row r="2" spans="1:13" x14ac:dyDescent="0.3">
      <c r="A2" s="174" t="s">
        <v>148</v>
      </c>
      <c r="B2" s="175" t="s">
        <v>731</v>
      </c>
      <c r="C2" s="175"/>
      <c r="D2" s="175" t="s">
        <v>163</v>
      </c>
      <c r="E2" s="172" t="s">
        <v>732</v>
      </c>
      <c r="F2" s="175">
        <v>119088</v>
      </c>
      <c r="G2" s="176" t="s">
        <v>165</v>
      </c>
      <c r="H2" s="177">
        <v>148.85714285714286</v>
      </c>
      <c r="I2" s="172">
        <v>2009</v>
      </c>
      <c r="J2" s="172">
        <v>2022</v>
      </c>
      <c r="K2" s="178">
        <v>13</v>
      </c>
      <c r="L2" s="193">
        <v>2022</v>
      </c>
      <c r="M2" s="179">
        <v>148.85714285714286</v>
      </c>
    </row>
    <row r="3" spans="1:13" x14ac:dyDescent="0.3">
      <c r="A3" s="180" t="s">
        <v>153</v>
      </c>
      <c r="B3" s="181" t="s">
        <v>731</v>
      </c>
      <c r="C3" s="181"/>
      <c r="D3" s="181" t="s">
        <v>163</v>
      </c>
      <c r="E3" s="158" t="s">
        <v>733</v>
      </c>
      <c r="F3" s="181">
        <v>119938</v>
      </c>
      <c r="G3" s="182" t="s">
        <v>185</v>
      </c>
      <c r="H3" s="183">
        <v>44</v>
      </c>
      <c r="I3" s="158">
        <v>2011</v>
      </c>
      <c r="J3" s="158">
        <v>2022</v>
      </c>
      <c r="K3" s="184">
        <v>11</v>
      </c>
      <c r="L3" s="193">
        <v>2022</v>
      </c>
      <c r="M3" s="185">
        <v>44</v>
      </c>
    </row>
    <row r="4" spans="1:13" x14ac:dyDescent="0.3">
      <c r="A4" s="174" t="s">
        <v>159</v>
      </c>
      <c r="B4" s="175" t="s">
        <v>731</v>
      </c>
      <c r="C4" s="175"/>
      <c r="D4" s="175" t="s">
        <v>734</v>
      </c>
      <c r="E4" s="172" t="s">
        <v>735</v>
      </c>
      <c r="F4" s="175">
        <v>118695</v>
      </c>
      <c r="G4" s="176" t="s">
        <v>162</v>
      </c>
      <c r="H4" s="177">
        <v>413.18627450980398</v>
      </c>
      <c r="I4" s="172">
        <v>2004</v>
      </c>
      <c r="J4" s="172">
        <v>2022</v>
      </c>
      <c r="K4" s="178">
        <v>18</v>
      </c>
      <c r="L4" s="193">
        <v>2022</v>
      </c>
      <c r="M4" s="179">
        <v>413.18627450980398</v>
      </c>
    </row>
    <row r="5" spans="1:13" x14ac:dyDescent="0.3">
      <c r="A5" s="180" t="s">
        <v>148</v>
      </c>
      <c r="B5" s="181" t="s">
        <v>731</v>
      </c>
      <c r="C5" s="181"/>
      <c r="D5" s="181" t="s">
        <v>163</v>
      </c>
      <c r="E5" s="158" t="s">
        <v>736</v>
      </c>
      <c r="F5" s="181">
        <v>116707</v>
      </c>
      <c r="G5" s="182" t="s">
        <v>195</v>
      </c>
      <c r="H5" s="183">
        <v>1315.2968697968697</v>
      </c>
      <c r="I5" s="158">
        <v>2007</v>
      </c>
      <c r="J5" s="158">
        <v>2022</v>
      </c>
      <c r="K5" s="184">
        <v>15</v>
      </c>
      <c r="L5" s="193">
        <v>2022</v>
      </c>
      <c r="M5" s="185">
        <v>1315.2968697968697</v>
      </c>
    </row>
    <row r="6" spans="1:13" x14ac:dyDescent="0.3">
      <c r="A6" s="174" t="s">
        <v>148</v>
      </c>
      <c r="B6" s="175" t="s">
        <v>731</v>
      </c>
      <c r="C6" s="175"/>
      <c r="D6" s="175" t="s">
        <v>163</v>
      </c>
      <c r="E6" s="172" t="s">
        <v>737</v>
      </c>
      <c r="F6" s="175">
        <v>118453</v>
      </c>
      <c r="G6" s="176" t="s">
        <v>152</v>
      </c>
      <c r="H6" s="177">
        <v>320.66666666666663</v>
      </c>
      <c r="I6" s="172">
        <v>2006</v>
      </c>
      <c r="J6" s="172">
        <v>2022</v>
      </c>
      <c r="K6" s="178">
        <v>16</v>
      </c>
      <c r="L6" s="193">
        <v>2022</v>
      </c>
      <c r="M6" s="179">
        <v>320.66666666666663</v>
      </c>
    </row>
    <row r="7" spans="1:13" x14ac:dyDescent="0.3">
      <c r="A7" s="180" t="s">
        <v>148</v>
      </c>
      <c r="B7" s="181" t="s">
        <v>731</v>
      </c>
      <c r="C7" s="181"/>
      <c r="D7" s="181" t="s">
        <v>163</v>
      </c>
      <c r="E7" s="158" t="s">
        <v>738</v>
      </c>
      <c r="F7" s="181">
        <v>118196</v>
      </c>
      <c r="G7" s="182" t="s">
        <v>211</v>
      </c>
      <c r="H7" s="183">
        <v>539.3974358974358</v>
      </c>
      <c r="I7" s="158">
        <v>2008</v>
      </c>
      <c r="J7" s="158">
        <v>2022</v>
      </c>
      <c r="K7" s="184">
        <v>14</v>
      </c>
      <c r="L7" s="193">
        <v>2022</v>
      </c>
      <c r="M7" s="185">
        <v>539.3974358974358</v>
      </c>
    </row>
    <row r="8" spans="1:13" x14ac:dyDescent="0.3">
      <c r="A8" s="174" t="s">
        <v>156</v>
      </c>
      <c r="B8" s="175"/>
      <c r="C8" s="175"/>
      <c r="D8" s="175" t="s">
        <v>163</v>
      </c>
      <c r="E8" s="172" t="s">
        <v>739</v>
      </c>
      <c r="F8" s="175">
        <v>119570</v>
      </c>
      <c r="G8" s="176" t="s">
        <v>263</v>
      </c>
      <c r="H8" s="177">
        <v>0</v>
      </c>
      <c r="I8" s="172">
        <v>2011</v>
      </c>
      <c r="J8" s="172">
        <v>2022</v>
      </c>
      <c r="K8" s="178">
        <v>11</v>
      </c>
      <c r="L8" s="193">
        <v>2022</v>
      </c>
      <c r="M8" s="179">
        <v>0</v>
      </c>
    </row>
    <row r="9" spans="1:13" x14ac:dyDescent="0.3">
      <c r="A9" s="180" t="s">
        <v>153</v>
      </c>
      <c r="B9" s="181" t="s">
        <v>731</v>
      </c>
      <c r="C9" s="181"/>
      <c r="D9" s="181" t="s">
        <v>163</v>
      </c>
      <c r="E9" s="158" t="s">
        <v>740</v>
      </c>
      <c r="F9" s="181">
        <v>118811</v>
      </c>
      <c r="G9" s="182" t="s">
        <v>211</v>
      </c>
      <c r="H9" s="183">
        <v>250</v>
      </c>
      <c r="I9" s="158">
        <v>2010</v>
      </c>
      <c r="J9" s="158">
        <v>2022</v>
      </c>
      <c r="K9" s="184">
        <v>12</v>
      </c>
      <c r="L9" s="193">
        <v>2022</v>
      </c>
      <c r="M9" s="185">
        <v>250</v>
      </c>
    </row>
    <row r="10" spans="1:13" x14ac:dyDescent="0.3">
      <c r="A10" s="174" t="s">
        <v>148</v>
      </c>
      <c r="B10" s="175" t="s">
        <v>731</v>
      </c>
      <c r="C10" s="175"/>
      <c r="D10" s="175" t="s">
        <v>163</v>
      </c>
      <c r="E10" s="172" t="s">
        <v>741</v>
      </c>
      <c r="F10" s="175">
        <v>117111</v>
      </c>
      <c r="G10" s="176" t="s">
        <v>155</v>
      </c>
      <c r="H10" s="177">
        <v>905</v>
      </c>
      <c r="I10" s="172">
        <v>2008</v>
      </c>
      <c r="J10" s="172">
        <v>2022</v>
      </c>
      <c r="K10" s="178">
        <v>14</v>
      </c>
      <c r="L10" s="193">
        <v>2022</v>
      </c>
      <c r="M10" s="179">
        <v>905</v>
      </c>
    </row>
    <row r="11" spans="1:13" x14ac:dyDescent="0.3">
      <c r="A11" s="180" t="s">
        <v>148</v>
      </c>
      <c r="B11" s="181" t="s">
        <v>731</v>
      </c>
      <c r="C11" s="181"/>
      <c r="D11" s="181" t="s">
        <v>163</v>
      </c>
      <c r="E11" s="158" t="s">
        <v>742</v>
      </c>
      <c r="F11" s="181">
        <v>120201</v>
      </c>
      <c r="G11" s="182" t="s">
        <v>169</v>
      </c>
      <c r="H11" s="186">
        <v>0</v>
      </c>
      <c r="I11" s="158">
        <v>2007</v>
      </c>
      <c r="J11" s="158">
        <v>2022</v>
      </c>
      <c r="K11" s="184">
        <v>15</v>
      </c>
      <c r="L11" s="193">
        <v>2022</v>
      </c>
      <c r="M11" s="185"/>
    </row>
    <row r="12" spans="1:13" x14ac:dyDescent="0.3">
      <c r="A12" s="174" t="s">
        <v>159</v>
      </c>
      <c r="B12" s="175" t="s">
        <v>731</v>
      </c>
      <c r="C12" s="175"/>
      <c r="D12" s="175" t="s">
        <v>163</v>
      </c>
      <c r="E12" s="172" t="s">
        <v>743</v>
      </c>
      <c r="F12" s="175">
        <v>117781</v>
      </c>
      <c r="G12" s="176" t="s">
        <v>162</v>
      </c>
      <c r="H12" s="177">
        <v>1014.7698412698412</v>
      </c>
      <c r="I12" s="172">
        <v>2006</v>
      </c>
      <c r="J12" s="172">
        <v>2022</v>
      </c>
      <c r="K12" s="178">
        <v>16</v>
      </c>
      <c r="L12" s="193">
        <v>2022</v>
      </c>
      <c r="M12" s="179">
        <v>1014.7698412698412</v>
      </c>
    </row>
    <row r="13" spans="1:13" x14ac:dyDescent="0.3">
      <c r="A13" s="180" t="s">
        <v>156</v>
      </c>
      <c r="B13" s="181" t="s">
        <v>731</v>
      </c>
      <c r="C13" s="181"/>
      <c r="D13" s="181" t="s">
        <v>163</v>
      </c>
      <c r="E13" s="158" t="s">
        <v>744</v>
      </c>
      <c r="F13" s="181">
        <v>118101</v>
      </c>
      <c r="G13" s="182" t="s">
        <v>217</v>
      </c>
      <c r="H13" s="183">
        <v>93.333333333333343</v>
      </c>
      <c r="I13" s="158">
        <v>2007</v>
      </c>
      <c r="J13" s="158">
        <v>2022</v>
      </c>
      <c r="K13" s="184">
        <v>15</v>
      </c>
      <c r="L13" s="193">
        <v>2022</v>
      </c>
      <c r="M13" s="185">
        <v>93.333333333333343</v>
      </c>
    </row>
    <row r="14" spans="1:13" x14ac:dyDescent="0.3">
      <c r="A14" s="174" t="s">
        <v>159</v>
      </c>
      <c r="B14" s="175" t="s">
        <v>731</v>
      </c>
      <c r="C14" s="175"/>
      <c r="D14" s="175" t="s">
        <v>163</v>
      </c>
      <c r="E14" s="172" t="s">
        <v>745</v>
      </c>
      <c r="F14" s="175">
        <v>120467</v>
      </c>
      <c r="G14" s="176" t="s">
        <v>167</v>
      </c>
      <c r="H14" s="187">
        <v>0</v>
      </c>
      <c r="I14" s="172">
        <v>2009</v>
      </c>
      <c r="J14" s="172">
        <v>2022</v>
      </c>
      <c r="K14" s="178">
        <v>13</v>
      </c>
      <c r="L14" s="193">
        <v>2022</v>
      </c>
      <c r="M14" s="188"/>
    </row>
    <row r="15" spans="1:13" x14ac:dyDescent="0.3">
      <c r="A15" s="180" t="s">
        <v>148</v>
      </c>
      <c r="B15" s="181" t="s">
        <v>731</v>
      </c>
      <c r="C15" s="181"/>
      <c r="D15" s="181" t="s">
        <v>163</v>
      </c>
      <c r="E15" s="158" t="s">
        <v>746</v>
      </c>
      <c r="F15" s="181">
        <v>115117</v>
      </c>
      <c r="G15" s="182" t="s">
        <v>224</v>
      </c>
      <c r="H15" s="183">
        <v>102.72727272727273</v>
      </c>
      <c r="I15" s="158">
        <v>2007</v>
      </c>
      <c r="J15" s="158">
        <v>2022</v>
      </c>
      <c r="K15" s="184">
        <v>15</v>
      </c>
      <c r="L15" s="193">
        <v>2022</v>
      </c>
      <c r="M15" s="185">
        <v>102.72727272727273</v>
      </c>
    </row>
    <row r="16" spans="1:13" x14ac:dyDescent="0.3">
      <c r="A16" s="174" t="s">
        <v>159</v>
      </c>
      <c r="B16" s="175" t="s">
        <v>731</v>
      </c>
      <c r="C16" s="175"/>
      <c r="D16" s="175" t="s">
        <v>163</v>
      </c>
      <c r="E16" s="172" t="s">
        <v>747</v>
      </c>
      <c r="F16" s="175">
        <v>118501</v>
      </c>
      <c r="G16" s="176" t="s">
        <v>187</v>
      </c>
      <c r="H16" s="177">
        <v>588.83333333333337</v>
      </c>
      <c r="I16" s="172">
        <v>2010</v>
      </c>
      <c r="J16" s="172">
        <v>2022</v>
      </c>
      <c r="K16" s="178">
        <v>12</v>
      </c>
      <c r="L16" s="193">
        <v>2022</v>
      </c>
      <c r="M16" s="179">
        <v>588.83333333333337</v>
      </c>
    </row>
    <row r="17" spans="1:13" x14ac:dyDescent="0.3">
      <c r="A17" s="180" t="s">
        <v>156</v>
      </c>
      <c r="B17" s="181" t="s">
        <v>731</v>
      </c>
      <c r="C17" s="181"/>
      <c r="D17" s="181" t="s">
        <v>163</v>
      </c>
      <c r="E17" s="158" t="s">
        <v>748</v>
      </c>
      <c r="F17" s="181">
        <v>118440</v>
      </c>
      <c r="G17" s="182" t="s">
        <v>211</v>
      </c>
      <c r="H17" s="183">
        <v>828.5</v>
      </c>
      <c r="I17" s="158">
        <v>2009</v>
      </c>
      <c r="J17" s="158">
        <v>2022</v>
      </c>
      <c r="K17" s="184">
        <v>13</v>
      </c>
      <c r="L17" s="193">
        <v>2022</v>
      </c>
      <c r="M17" s="185">
        <v>828.5</v>
      </c>
    </row>
    <row r="18" spans="1:13" x14ac:dyDescent="0.3">
      <c r="A18" s="174" t="s">
        <v>156</v>
      </c>
      <c r="B18" s="175" t="s">
        <v>731</v>
      </c>
      <c r="C18" s="175"/>
      <c r="D18" s="175" t="s">
        <v>163</v>
      </c>
      <c r="E18" s="172" t="s">
        <v>749</v>
      </c>
      <c r="F18" s="175">
        <v>116385</v>
      </c>
      <c r="G18" s="176" t="s">
        <v>217</v>
      </c>
      <c r="H18" s="177">
        <v>128.33333333333334</v>
      </c>
      <c r="I18" s="172">
        <v>2009</v>
      </c>
      <c r="J18" s="172">
        <v>2022</v>
      </c>
      <c r="K18" s="178">
        <v>13</v>
      </c>
      <c r="L18" s="193">
        <v>2022</v>
      </c>
      <c r="M18" s="179">
        <v>128.33333333333334</v>
      </c>
    </row>
    <row r="19" spans="1:13" x14ac:dyDescent="0.3">
      <c r="A19" s="180" t="s">
        <v>156</v>
      </c>
      <c r="B19" s="181" t="s">
        <v>731</v>
      </c>
      <c r="C19" s="181"/>
      <c r="D19" s="181" t="s">
        <v>163</v>
      </c>
      <c r="E19" s="158" t="s">
        <v>750</v>
      </c>
      <c r="F19" s="181">
        <v>117538</v>
      </c>
      <c r="G19" s="182" t="s">
        <v>229</v>
      </c>
      <c r="H19" s="183">
        <v>216.25</v>
      </c>
      <c r="I19" s="158">
        <v>2009</v>
      </c>
      <c r="J19" s="158">
        <v>2022</v>
      </c>
      <c r="K19" s="184">
        <v>13</v>
      </c>
      <c r="L19" s="193">
        <v>2022</v>
      </c>
      <c r="M19" s="185">
        <v>216.25</v>
      </c>
    </row>
    <row r="20" spans="1:13" x14ac:dyDescent="0.3">
      <c r="A20" s="174" t="s">
        <v>156</v>
      </c>
      <c r="B20" s="175" t="s">
        <v>731</v>
      </c>
      <c r="C20" s="175"/>
      <c r="D20" s="175" t="s">
        <v>163</v>
      </c>
      <c r="E20" s="172" t="s">
        <v>751</v>
      </c>
      <c r="F20" s="175">
        <v>118512</v>
      </c>
      <c r="G20" s="176" t="s">
        <v>201</v>
      </c>
      <c r="H20" s="177">
        <v>371.66666666666663</v>
      </c>
      <c r="I20" s="172">
        <v>2009</v>
      </c>
      <c r="J20" s="172">
        <v>2022</v>
      </c>
      <c r="K20" s="178">
        <v>13</v>
      </c>
      <c r="L20" s="193">
        <v>2022</v>
      </c>
      <c r="M20" s="179">
        <v>371.66666666666663</v>
      </c>
    </row>
    <row r="21" spans="1:13" x14ac:dyDescent="0.3">
      <c r="A21" s="180" t="s">
        <v>190</v>
      </c>
      <c r="B21" s="181" t="s">
        <v>731</v>
      </c>
      <c r="C21" s="181"/>
      <c r="D21" s="181" t="s">
        <v>163</v>
      </c>
      <c r="E21" s="158" t="s">
        <v>752</v>
      </c>
      <c r="F21" s="181">
        <v>119415</v>
      </c>
      <c r="G21" s="182" t="s">
        <v>167</v>
      </c>
      <c r="H21" s="183">
        <v>85.833333333333343</v>
      </c>
      <c r="I21" s="158">
        <v>2011</v>
      </c>
      <c r="J21" s="158">
        <v>2022</v>
      </c>
      <c r="K21" s="184">
        <v>11</v>
      </c>
      <c r="L21" s="193">
        <v>2022</v>
      </c>
      <c r="M21" s="185">
        <v>85.833333333333343</v>
      </c>
    </row>
    <row r="22" spans="1:13" x14ac:dyDescent="0.3">
      <c r="A22" s="174" t="s">
        <v>159</v>
      </c>
      <c r="B22" s="175" t="s">
        <v>731</v>
      </c>
      <c r="C22" s="175"/>
      <c r="D22" s="175" t="s">
        <v>163</v>
      </c>
      <c r="E22" s="172" t="s">
        <v>753</v>
      </c>
      <c r="F22" s="175">
        <v>119261</v>
      </c>
      <c r="G22" s="176" t="s">
        <v>162</v>
      </c>
      <c r="H22" s="177">
        <v>277.11344537815125</v>
      </c>
      <c r="I22" s="172">
        <v>2006</v>
      </c>
      <c r="J22" s="172">
        <v>2022</v>
      </c>
      <c r="K22" s="178">
        <v>16</v>
      </c>
      <c r="L22" s="193">
        <v>2022</v>
      </c>
      <c r="M22" s="179">
        <v>277.11344537815125</v>
      </c>
    </row>
    <row r="23" spans="1:13" x14ac:dyDescent="0.3">
      <c r="A23" s="180" t="s">
        <v>173</v>
      </c>
      <c r="B23" s="181" t="s">
        <v>731</v>
      </c>
      <c r="C23" s="181"/>
      <c r="D23" s="181" t="s">
        <v>163</v>
      </c>
      <c r="E23" s="158" t="s">
        <v>754</v>
      </c>
      <c r="F23" s="181">
        <v>118397</v>
      </c>
      <c r="G23" s="182" t="s">
        <v>224</v>
      </c>
      <c r="H23" s="183">
        <v>573.81313131313141</v>
      </c>
      <c r="I23" s="158">
        <v>2010</v>
      </c>
      <c r="J23" s="158">
        <v>2022</v>
      </c>
      <c r="K23" s="184">
        <v>12</v>
      </c>
      <c r="L23" s="193">
        <v>2022</v>
      </c>
      <c r="M23" s="185">
        <v>573.81313131313141</v>
      </c>
    </row>
    <row r="24" spans="1:13" x14ac:dyDescent="0.3">
      <c r="A24" s="174" t="s">
        <v>190</v>
      </c>
      <c r="B24" s="175" t="s">
        <v>731</v>
      </c>
      <c r="C24" s="175"/>
      <c r="D24" s="175" t="s">
        <v>163</v>
      </c>
      <c r="E24" s="172" t="s">
        <v>755</v>
      </c>
      <c r="F24" s="175">
        <v>119421</v>
      </c>
      <c r="G24" s="176" t="s">
        <v>167</v>
      </c>
      <c r="H24" s="177">
        <v>162.12121212121212</v>
      </c>
      <c r="I24" s="172">
        <v>2011</v>
      </c>
      <c r="J24" s="172">
        <v>2022</v>
      </c>
      <c r="K24" s="178">
        <v>11</v>
      </c>
      <c r="L24" s="193">
        <v>2022</v>
      </c>
      <c r="M24" s="179">
        <v>162.12121212121212</v>
      </c>
    </row>
    <row r="25" spans="1:13" x14ac:dyDescent="0.3">
      <c r="A25" s="180" t="s">
        <v>148</v>
      </c>
      <c r="B25" s="181" t="s">
        <v>731</v>
      </c>
      <c r="C25" s="181"/>
      <c r="D25" s="181" t="s">
        <v>163</v>
      </c>
      <c r="E25" s="158" t="s">
        <v>756</v>
      </c>
      <c r="F25" s="181">
        <v>117418</v>
      </c>
      <c r="G25" s="182" t="s">
        <v>198</v>
      </c>
      <c r="H25" s="183">
        <v>997</v>
      </c>
      <c r="I25" s="158">
        <v>2004</v>
      </c>
      <c r="J25" s="158">
        <v>2022</v>
      </c>
      <c r="K25" s="184">
        <v>18</v>
      </c>
      <c r="L25" s="193">
        <v>2022</v>
      </c>
      <c r="M25" s="185">
        <v>997</v>
      </c>
    </row>
    <row r="26" spans="1:13" x14ac:dyDescent="0.3">
      <c r="A26" s="174" t="s">
        <v>156</v>
      </c>
      <c r="B26" s="175" t="s">
        <v>731</v>
      </c>
      <c r="C26" s="175"/>
      <c r="D26" s="175" t="s">
        <v>163</v>
      </c>
      <c r="E26" s="172" t="s">
        <v>757</v>
      </c>
      <c r="F26" s="175">
        <v>119258</v>
      </c>
      <c r="G26" s="176" t="s">
        <v>162</v>
      </c>
      <c r="H26" s="177">
        <v>713.52380952380952</v>
      </c>
      <c r="I26" s="172">
        <v>2006</v>
      </c>
      <c r="J26" s="172">
        <v>2022</v>
      </c>
      <c r="K26" s="178">
        <v>16</v>
      </c>
      <c r="L26" s="193">
        <v>2022</v>
      </c>
      <c r="M26" s="179">
        <v>713.52380952380952</v>
      </c>
    </row>
    <row r="27" spans="1:13" x14ac:dyDescent="0.3">
      <c r="A27" s="180" t="s">
        <v>153</v>
      </c>
      <c r="B27" s="181" t="s">
        <v>731</v>
      </c>
      <c r="C27" s="181"/>
      <c r="D27" s="181" t="s">
        <v>163</v>
      </c>
      <c r="E27" s="158" t="s">
        <v>758</v>
      </c>
      <c r="F27" s="181">
        <v>119433</v>
      </c>
      <c r="G27" s="182" t="s">
        <v>185</v>
      </c>
      <c r="H27" s="183">
        <v>82.222222222222214</v>
      </c>
      <c r="I27" s="158">
        <v>2010</v>
      </c>
      <c r="J27" s="158">
        <v>2022</v>
      </c>
      <c r="K27" s="184">
        <v>12</v>
      </c>
      <c r="L27" s="193">
        <v>2022</v>
      </c>
      <c r="M27" s="185">
        <v>82.222222222222214</v>
      </c>
    </row>
    <row r="28" spans="1:13" x14ac:dyDescent="0.3">
      <c r="A28" s="174" t="s">
        <v>156</v>
      </c>
      <c r="B28" s="175" t="s">
        <v>731</v>
      </c>
      <c r="C28" s="175"/>
      <c r="D28" s="175" t="s">
        <v>163</v>
      </c>
      <c r="E28" s="172" t="s">
        <v>759</v>
      </c>
      <c r="F28" s="175">
        <v>119388</v>
      </c>
      <c r="G28" s="176" t="s">
        <v>211</v>
      </c>
      <c r="H28" s="177">
        <v>122</v>
      </c>
      <c r="I28" s="172">
        <v>2009</v>
      </c>
      <c r="J28" s="172">
        <v>2022</v>
      </c>
      <c r="K28" s="178">
        <v>13</v>
      </c>
      <c r="L28" s="193">
        <v>2022</v>
      </c>
      <c r="M28" s="179">
        <v>122</v>
      </c>
    </row>
    <row r="29" spans="1:13" x14ac:dyDescent="0.3">
      <c r="A29" s="180" t="s">
        <v>156</v>
      </c>
      <c r="B29" s="181" t="s">
        <v>731</v>
      </c>
      <c r="C29" s="181"/>
      <c r="D29" s="181" t="s">
        <v>163</v>
      </c>
      <c r="E29" s="158" t="s">
        <v>760</v>
      </c>
      <c r="F29" s="181">
        <v>116644</v>
      </c>
      <c r="G29" s="182" t="s">
        <v>217</v>
      </c>
      <c r="H29" s="183">
        <v>124</v>
      </c>
      <c r="I29" s="158">
        <v>2009</v>
      </c>
      <c r="J29" s="158">
        <v>2022</v>
      </c>
      <c r="K29" s="184">
        <v>13</v>
      </c>
      <c r="L29" s="193">
        <v>2022</v>
      </c>
      <c r="M29" s="185">
        <v>124</v>
      </c>
    </row>
    <row r="30" spans="1:13" x14ac:dyDescent="0.3">
      <c r="A30" s="174" t="s">
        <v>148</v>
      </c>
      <c r="B30" s="175" t="s">
        <v>731</v>
      </c>
      <c r="C30" s="175"/>
      <c r="D30" s="175" t="s">
        <v>163</v>
      </c>
      <c r="E30" s="172" t="s">
        <v>761</v>
      </c>
      <c r="F30" s="175">
        <v>116978</v>
      </c>
      <c r="G30" s="176" t="s">
        <v>165</v>
      </c>
      <c r="H30" s="177">
        <v>3621.079365079368</v>
      </c>
      <c r="I30" s="172">
        <v>2007</v>
      </c>
      <c r="J30" s="172">
        <v>2022</v>
      </c>
      <c r="K30" s="178">
        <v>15</v>
      </c>
      <c r="L30" s="193">
        <v>2022</v>
      </c>
      <c r="M30" s="179">
        <v>3621.079365079368</v>
      </c>
    </row>
    <row r="31" spans="1:13" x14ac:dyDescent="0.3">
      <c r="A31" s="180" t="s">
        <v>159</v>
      </c>
      <c r="B31" s="181" t="s">
        <v>731</v>
      </c>
      <c r="C31" s="181"/>
      <c r="D31" s="181" t="s">
        <v>163</v>
      </c>
      <c r="E31" s="158" t="s">
        <v>762</v>
      </c>
      <c r="F31" s="181">
        <v>119664</v>
      </c>
      <c r="G31" s="182" t="s">
        <v>167</v>
      </c>
      <c r="H31" s="183">
        <v>21</v>
      </c>
      <c r="I31" s="158">
        <v>2009</v>
      </c>
      <c r="J31" s="158">
        <v>2022</v>
      </c>
      <c r="K31" s="184">
        <v>13</v>
      </c>
      <c r="L31" s="193">
        <v>2022</v>
      </c>
      <c r="M31" s="185">
        <v>21</v>
      </c>
    </row>
    <row r="32" spans="1:13" x14ac:dyDescent="0.3">
      <c r="A32" s="174" t="s">
        <v>156</v>
      </c>
      <c r="B32" s="175" t="s">
        <v>731</v>
      </c>
      <c r="C32" s="175"/>
      <c r="D32" s="175" t="s">
        <v>163</v>
      </c>
      <c r="E32" s="172" t="s">
        <v>763</v>
      </c>
      <c r="F32" s="175">
        <v>118015</v>
      </c>
      <c r="G32" s="176" t="s">
        <v>155</v>
      </c>
      <c r="H32" s="177">
        <v>1708.43253968254</v>
      </c>
      <c r="I32" s="172">
        <v>2008</v>
      </c>
      <c r="J32" s="172">
        <v>2022</v>
      </c>
      <c r="K32" s="178">
        <v>14</v>
      </c>
      <c r="L32" s="193">
        <v>2022</v>
      </c>
      <c r="M32" s="179">
        <v>1708.43253968254</v>
      </c>
    </row>
    <row r="33" spans="1:13" x14ac:dyDescent="0.3">
      <c r="A33" s="180" t="s">
        <v>153</v>
      </c>
      <c r="B33" s="181"/>
      <c r="C33" s="181"/>
      <c r="D33" s="181" t="s">
        <v>163</v>
      </c>
      <c r="E33" s="158" t="s">
        <v>764</v>
      </c>
      <c r="F33" s="181">
        <v>119413</v>
      </c>
      <c r="G33" s="182" t="s">
        <v>162</v>
      </c>
      <c r="H33" s="183">
        <v>56.25</v>
      </c>
      <c r="I33" s="158">
        <v>2010</v>
      </c>
      <c r="J33" s="158">
        <v>2022</v>
      </c>
      <c r="K33" s="184">
        <v>12</v>
      </c>
      <c r="L33" s="193">
        <v>2022</v>
      </c>
      <c r="M33" s="185">
        <v>56.25</v>
      </c>
    </row>
    <row r="34" spans="1:13" x14ac:dyDescent="0.3">
      <c r="A34" s="174" t="s">
        <v>156</v>
      </c>
      <c r="B34" s="175"/>
      <c r="C34" s="175"/>
      <c r="D34" s="175" t="s">
        <v>163</v>
      </c>
      <c r="E34" s="172" t="s">
        <v>765</v>
      </c>
      <c r="F34" s="175">
        <v>119569</v>
      </c>
      <c r="G34" s="176" t="s">
        <v>263</v>
      </c>
      <c r="H34" s="187">
        <v>0</v>
      </c>
      <c r="I34" s="172">
        <v>2008</v>
      </c>
      <c r="J34" s="172">
        <v>2022</v>
      </c>
      <c r="K34" s="178">
        <v>14</v>
      </c>
      <c r="L34" s="193">
        <v>2022</v>
      </c>
      <c r="M34" s="188"/>
    </row>
    <row r="35" spans="1:13" x14ac:dyDescent="0.3">
      <c r="A35" s="180" t="s">
        <v>148</v>
      </c>
      <c r="B35" s="181" t="s">
        <v>731</v>
      </c>
      <c r="C35" s="181"/>
      <c r="D35" s="181" t="s">
        <v>163</v>
      </c>
      <c r="E35" s="158" t="s">
        <v>766</v>
      </c>
      <c r="F35" s="181">
        <v>118499</v>
      </c>
      <c r="G35" s="182" t="s">
        <v>165</v>
      </c>
      <c r="H35" s="183">
        <v>1058.0227272727273</v>
      </c>
      <c r="I35" s="158">
        <v>2005</v>
      </c>
      <c r="J35" s="158">
        <v>2022</v>
      </c>
      <c r="K35" s="184">
        <v>17</v>
      </c>
      <c r="L35" s="193">
        <v>2022</v>
      </c>
      <c r="M35" s="185">
        <v>1058.0227272727273</v>
      </c>
    </row>
    <row r="36" spans="1:13" x14ac:dyDescent="0.3">
      <c r="A36" s="174" t="s">
        <v>153</v>
      </c>
      <c r="B36" s="175" t="s">
        <v>731</v>
      </c>
      <c r="C36" s="175"/>
      <c r="D36" s="175" t="s">
        <v>163</v>
      </c>
      <c r="E36" s="172" t="s">
        <v>767</v>
      </c>
      <c r="F36" s="175">
        <v>118931</v>
      </c>
      <c r="G36" s="176" t="s">
        <v>155</v>
      </c>
      <c r="H36" s="177">
        <v>1540</v>
      </c>
      <c r="I36" s="172">
        <v>2010</v>
      </c>
      <c r="J36" s="172">
        <v>2022</v>
      </c>
      <c r="K36" s="178">
        <v>12</v>
      </c>
      <c r="L36" s="193">
        <v>2022</v>
      </c>
      <c r="M36" s="179">
        <v>1540</v>
      </c>
    </row>
    <row r="37" spans="1:13" x14ac:dyDescent="0.3">
      <c r="A37" s="180" t="s">
        <v>173</v>
      </c>
      <c r="B37" s="181" t="s">
        <v>731</v>
      </c>
      <c r="C37" s="181"/>
      <c r="D37" s="181" t="s">
        <v>163</v>
      </c>
      <c r="E37" s="158" t="s">
        <v>768</v>
      </c>
      <c r="F37" s="181">
        <v>119317</v>
      </c>
      <c r="G37" s="182" t="s">
        <v>152</v>
      </c>
      <c r="H37" s="183">
        <v>80</v>
      </c>
      <c r="I37" s="158">
        <v>2010</v>
      </c>
      <c r="J37" s="158">
        <v>2022</v>
      </c>
      <c r="K37" s="184">
        <v>12</v>
      </c>
      <c r="L37" s="193">
        <v>2022</v>
      </c>
      <c r="M37" s="185">
        <v>80</v>
      </c>
    </row>
    <row r="38" spans="1:13" x14ac:dyDescent="0.3">
      <c r="A38" s="174" t="s">
        <v>159</v>
      </c>
      <c r="B38" s="175" t="s">
        <v>731</v>
      </c>
      <c r="C38" s="175"/>
      <c r="D38" s="175" t="s">
        <v>163</v>
      </c>
      <c r="E38" s="172" t="s">
        <v>769</v>
      </c>
      <c r="F38" s="175">
        <v>119738</v>
      </c>
      <c r="G38" s="176" t="s">
        <v>167</v>
      </c>
      <c r="H38" s="177">
        <v>58.333333333333329</v>
      </c>
      <c r="I38" s="172">
        <v>2011</v>
      </c>
      <c r="J38" s="172">
        <v>2022</v>
      </c>
      <c r="K38" s="178">
        <v>11</v>
      </c>
      <c r="L38" s="193">
        <v>2022</v>
      </c>
      <c r="M38" s="179">
        <v>58.333333333333329</v>
      </c>
    </row>
    <row r="39" spans="1:13" x14ac:dyDescent="0.3">
      <c r="A39" s="180" t="s">
        <v>159</v>
      </c>
      <c r="B39" s="181" t="s">
        <v>731</v>
      </c>
      <c r="C39" s="181"/>
      <c r="D39" s="181" t="s">
        <v>163</v>
      </c>
      <c r="E39" s="158" t="s">
        <v>770</v>
      </c>
      <c r="F39" s="181">
        <v>118873</v>
      </c>
      <c r="G39" s="182" t="s">
        <v>167</v>
      </c>
      <c r="H39" s="183">
        <v>85</v>
      </c>
      <c r="I39" s="158">
        <v>2008</v>
      </c>
      <c r="J39" s="158">
        <v>2022</v>
      </c>
      <c r="K39" s="184">
        <v>14</v>
      </c>
      <c r="L39" s="193">
        <v>2022</v>
      </c>
      <c r="M39" s="185">
        <v>85</v>
      </c>
    </row>
    <row r="40" spans="1:13" x14ac:dyDescent="0.3">
      <c r="A40" s="174" t="s">
        <v>153</v>
      </c>
      <c r="B40" s="175" t="s">
        <v>731</v>
      </c>
      <c r="C40" s="175"/>
      <c r="D40" s="175" t="s">
        <v>163</v>
      </c>
      <c r="E40" s="172" t="s">
        <v>771</v>
      </c>
      <c r="F40" s="175"/>
      <c r="G40" s="172" t="s">
        <v>185</v>
      </c>
      <c r="H40" s="177">
        <v>77.5</v>
      </c>
      <c r="I40" s="172">
        <v>2008</v>
      </c>
      <c r="J40" s="172">
        <v>2022</v>
      </c>
      <c r="K40" s="178">
        <v>14</v>
      </c>
      <c r="L40" s="193">
        <v>2022</v>
      </c>
      <c r="M40" s="179">
        <v>77.5</v>
      </c>
    </row>
    <row r="41" spans="1:13" x14ac:dyDescent="0.3">
      <c r="A41" s="180" t="s">
        <v>148</v>
      </c>
      <c r="B41" s="181" t="s">
        <v>731</v>
      </c>
      <c r="C41" s="181"/>
      <c r="D41" s="181" t="s">
        <v>163</v>
      </c>
      <c r="E41" s="158" t="s">
        <v>772</v>
      </c>
      <c r="F41" s="181">
        <v>119503</v>
      </c>
      <c r="G41" s="158" t="s">
        <v>155</v>
      </c>
      <c r="H41" s="183">
        <v>105.83333333333334</v>
      </c>
      <c r="I41" s="158">
        <v>2003</v>
      </c>
      <c r="J41" s="158">
        <v>2022</v>
      </c>
      <c r="K41" s="184">
        <v>19</v>
      </c>
      <c r="L41" s="193">
        <v>2022</v>
      </c>
      <c r="M41" s="185">
        <v>105.83333333333334</v>
      </c>
    </row>
    <row r="42" spans="1:13" x14ac:dyDescent="0.3">
      <c r="A42" s="174" t="s">
        <v>173</v>
      </c>
      <c r="B42" s="175" t="s">
        <v>731</v>
      </c>
      <c r="C42" s="175"/>
      <c r="D42" s="175" t="s">
        <v>163</v>
      </c>
      <c r="E42" s="172" t="s">
        <v>773</v>
      </c>
      <c r="F42" s="175">
        <v>119704</v>
      </c>
      <c r="G42" s="172" t="s">
        <v>198</v>
      </c>
      <c r="H42" s="187">
        <v>0</v>
      </c>
      <c r="I42" s="172">
        <v>2010</v>
      </c>
      <c r="J42" s="172">
        <v>2022</v>
      </c>
      <c r="K42" s="178">
        <v>12</v>
      </c>
      <c r="L42" s="193">
        <v>2022</v>
      </c>
      <c r="M42" s="179"/>
    </row>
    <row r="43" spans="1:13" x14ac:dyDescent="0.3">
      <c r="A43" s="180" t="s">
        <v>156</v>
      </c>
      <c r="B43" s="181" t="s">
        <v>731</v>
      </c>
      <c r="C43" s="181"/>
      <c r="D43" s="181" t="s">
        <v>163</v>
      </c>
      <c r="E43" s="158" t="s">
        <v>774</v>
      </c>
      <c r="F43" s="181">
        <v>119520</v>
      </c>
      <c r="G43" s="182" t="s">
        <v>171</v>
      </c>
      <c r="H43" s="189">
        <v>40</v>
      </c>
      <c r="I43" s="158">
        <v>2009</v>
      </c>
      <c r="J43" s="158">
        <v>2022</v>
      </c>
      <c r="K43" s="184">
        <v>13</v>
      </c>
      <c r="L43" s="193">
        <v>2022</v>
      </c>
      <c r="M43" s="190">
        <v>40</v>
      </c>
    </row>
    <row r="44" spans="1:13" x14ac:dyDescent="0.3">
      <c r="A44" s="174" t="s">
        <v>153</v>
      </c>
      <c r="B44" s="175" t="s">
        <v>731</v>
      </c>
      <c r="C44" s="175"/>
      <c r="D44" s="175" t="s">
        <v>163</v>
      </c>
      <c r="E44" s="172" t="s">
        <v>775</v>
      </c>
      <c r="F44" s="175">
        <v>120154</v>
      </c>
      <c r="G44" s="176" t="s">
        <v>217</v>
      </c>
      <c r="H44" s="191">
        <v>90</v>
      </c>
      <c r="I44" s="172">
        <v>2012</v>
      </c>
      <c r="J44" s="172">
        <v>2022</v>
      </c>
      <c r="K44" s="178">
        <v>10</v>
      </c>
      <c r="L44" s="193">
        <v>2022</v>
      </c>
      <c r="M44" s="188">
        <v>90</v>
      </c>
    </row>
    <row r="45" spans="1:13" x14ac:dyDescent="0.3">
      <c r="A45" s="180" t="s">
        <v>159</v>
      </c>
      <c r="B45" s="181" t="s">
        <v>731</v>
      </c>
      <c r="C45" s="181"/>
      <c r="D45" s="181" t="s">
        <v>163</v>
      </c>
      <c r="E45" s="158" t="s">
        <v>776</v>
      </c>
      <c r="F45" s="181">
        <v>118876</v>
      </c>
      <c r="G45" s="182" t="s">
        <v>167</v>
      </c>
      <c r="H45" s="189">
        <v>223.44444444444446</v>
      </c>
      <c r="I45" s="158">
        <v>2004</v>
      </c>
      <c r="J45" s="158">
        <v>2022</v>
      </c>
      <c r="K45" s="184">
        <v>18</v>
      </c>
      <c r="L45" s="193">
        <v>2022</v>
      </c>
      <c r="M45" s="190">
        <v>223.44444444444446</v>
      </c>
    </row>
    <row r="46" spans="1:13" x14ac:dyDescent="0.3">
      <c r="A46" s="174" t="s">
        <v>173</v>
      </c>
      <c r="B46" s="175" t="s">
        <v>731</v>
      </c>
      <c r="C46" s="175"/>
      <c r="D46" s="175" t="s">
        <v>163</v>
      </c>
      <c r="E46" s="172" t="s">
        <v>777</v>
      </c>
      <c r="F46" s="175">
        <v>119406</v>
      </c>
      <c r="G46" s="176" t="s">
        <v>213</v>
      </c>
      <c r="H46" s="191">
        <v>107.63888888888889</v>
      </c>
      <c r="I46" s="172">
        <v>2011</v>
      </c>
      <c r="J46" s="172">
        <v>2022</v>
      </c>
      <c r="K46" s="178">
        <v>11</v>
      </c>
      <c r="L46" s="193">
        <v>2022</v>
      </c>
      <c r="M46" s="188">
        <v>107.63888888888889</v>
      </c>
    </row>
    <row r="47" spans="1:13" x14ac:dyDescent="0.3">
      <c r="A47" s="180" t="s">
        <v>156</v>
      </c>
      <c r="B47" s="181" t="s">
        <v>731</v>
      </c>
      <c r="C47" s="181"/>
      <c r="D47" s="181" t="s">
        <v>163</v>
      </c>
      <c r="E47" s="158" t="s">
        <v>778</v>
      </c>
      <c r="F47" s="181">
        <v>118200</v>
      </c>
      <c r="G47" s="182" t="s">
        <v>211</v>
      </c>
      <c r="H47" s="189">
        <v>803.80952380952385</v>
      </c>
      <c r="I47" s="158">
        <v>2009</v>
      </c>
      <c r="J47" s="158">
        <v>2022</v>
      </c>
      <c r="K47" s="184">
        <v>13</v>
      </c>
      <c r="L47" s="193">
        <v>2022</v>
      </c>
      <c r="M47" s="190">
        <v>803.80952380952385</v>
      </c>
    </row>
    <row r="48" spans="1:13" x14ac:dyDescent="0.3">
      <c r="A48" s="174" t="s">
        <v>156</v>
      </c>
      <c r="B48" s="175"/>
      <c r="C48" s="175"/>
      <c r="D48" s="175" t="s">
        <v>163</v>
      </c>
      <c r="E48" s="172" t="s">
        <v>779</v>
      </c>
      <c r="F48" s="175">
        <v>118856</v>
      </c>
      <c r="G48" s="176" t="s">
        <v>185</v>
      </c>
      <c r="H48" s="191">
        <v>130.83333333333334</v>
      </c>
      <c r="I48" s="172">
        <v>2007</v>
      </c>
      <c r="J48" s="172">
        <v>2022</v>
      </c>
      <c r="K48" s="178">
        <v>15</v>
      </c>
      <c r="L48" s="193">
        <v>2022</v>
      </c>
      <c r="M48" s="188">
        <v>130.83333333333334</v>
      </c>
    </row>
    <row r="49" spans="1:13" x14ac:dyDescent="0.3">
      <c r="A49" s="180" t="s">
        <v>156</v>
      </c>
      <c r="B49" s="181" t="s">
        <v>731</v>
      </c>
      <c r="C49" s="181"/>
      <c r="D49" s="181" t="s">
        <v>163</v>
      </c>
      <c r="E49" s="158" t="s">
        <v>336</v>
      </c>
      <c r="F49" s="181">
        <v>118285</v>
      </c>
      <c r="G49" s="182" t="s">
        <v>171</v>
      </c>
      <c r="H49" s="189">
        <v>404.04761904761904</v>
      </c>
      <c r="I49" s="158">
        <v>2009</v>
      </c>
      <c r="J49" s="158">
        <v>2022</v>
      </c>
      <c r="K49" s="184">
        <v>13</v>
      </c>
      <c r="L49" s="193">
        <v>2022</v>
      </c>
      <c r="M49" s="190">
        <v>404.04761904761904</v>
      </c>
    </row>
    <row r="50" spans="1:13" x14ac:dyDescent="0.3">
      <c r="A50" s="174" t="s">
        <v>159</v>
      </c>
      <c r="B50" s="175" t="s">
        <v>731</v>
      </c>
      <c r="C50" s="175"/>
      <c r="D50" s="175" t="s">
        <v>163</v>
      </c>
      <c r="E50" s="172" t="s">
        <v>780</v>
      </c>
      <c r="F50" s="175">
        <v>116371</v>
      </c>
      <c r="G50" s="176" t="s">
        <v>206</v>
      </c>
      <c r="H50" s="191">
        <v>2051.1923076923081</v>
      </c>
      <c r="I50" s="172">
        <v>2006</v>
      </c>
      <c r="J50" s="172">
        <v>2022</v>
      </c>
      <c r="K50" s="178">
        <v>16</v>
      </c>
      <c r="L50" s="193">
        <v>2022</v>
      </c>
      <c r="M50" s="188">
        <v>2051.1923076923081</v>
      </c>
    </row>
    <row r="51" spans="1:13" x14ac:dyDescent="0.3">
      <c r="A51" s="180" t="s">
        <v>159</v>
      </c>
      <c r="B51" s="181" t="s">
        <v>731</v>
      </c>
      <c r="C51" s="181"/>
      <c r="D51" s="181" t="s">
        <v>163</v>
      </c>
      <c r="E51" s="158" t="s">
        <v>781</v>
      </c>
      <c r="F51" s="181">
        <v>116580</v>
      </c>
      <c r="G51" s="182" t="s">
        <v>206</v>
      </c>
      <c r="H51" s="189">
        <v>2541.1370296370319</v>
      </c>
      <c r="I51" s="158">
        <v>2006</v>
      </c>
      <c r="J51" s="158">
        <v>2022</v>
      </c>
      <c r="K51" s="184">
        <v>16</v>
      </c>
      <c r="L51" s="193">
        <v>2022</v>
      </c>
      <c r="M51" s="190">
        <v>2541.1370296370319</v>
      </c>
    </row>
    <row r="52" spans="1:13" x14ac:dyDescent="0.3">
      <c r="A52" s="174" t="s">
        <v>159</v>
      </c>
      <c r="B52" s="175" t="s">
        <v>731</v>
      </c>
      <c r="C52" s="175"/>
      <c r="D52" s="175" t="s">
        <v>163</v>
      </c>
      <c r="E52" s="172" t="s">
        <v>782</v>
      </c>
      <c r="F52" s="175">
        <v>119765</v>
      </c>
      <c r="G52" s="176" t="s">
        <v>162</v>
      </c>
      <c r="H52" s="191">
        <v>249.70588235294116</v>
      </c>
      <c r="I52" s="172">
        <v>2008</v>
      </c>
      <c r="J52" s="172">
        <v>2022</v>
      </c>
      <c r="K52" s="178">
        <v>14</v>
      </c>
      <c r="L52" s="193">
        <v>2022</v>
      </c>
      <c r="M52" s="188">
        <v>249.70588235294116</v>
      </c>
    </row>
    <row r="53" spans="1:13" x14ac:dyDescent="0.3">
      <c r="A53" s="180" t="s">
        <v>156</v>
      </c>
      <c r="B53" s="181"/>
      <c r="C53" s="181"/>
      <c r="D53" s="181" t="s">
        <v>163</v>
      </c>
      <c r="E53" s="158" t="s">
        <v>783</v>
      </c>
      <c r="F53" s="181">
        <v>117499</v>
      </c>
      <c r="G53" s="182" t="s">
        <v>263</v>
      </c>
      <c r="H53" s="189">
        <v>0</v>
      </c>
      <c r="I53" s="158"/>
      <c r="J53" s="158">
        <v>2022</v>
      </c>
      <c r="K53" s="184">
        <v>2022</v>
      </c>
      <c r="L53" s="193">
        <v>2022</v>
      </c>
      <c r="M53" s="190">
        <v>0</v>
      </c>
    </row>
    <row r="54" spans="1:13" x14ac:dyDescent="0.3">
      <c r="A54" s="174" t="s">
        <v>148</v>
      </c>
      <c r="B54" s="175" t="s">
        <v>731</v>
      </c>
      <c r="C54" s="175"/>
      <c r="D54" s="175" t="s">
        <v>163</v>
      </c>
      <c r="E54" s="172" t="s">
        <v>784</v>
      </c>
      <c r="F54" s="175">
        <v>117408</v>
      </c>
      <c r="G54" s="176" t="s">
        <v>165</v>
      </c>
      <c r="H54" s="191">
        <v>1398.7680375180375</v>
      </c>
      <c r="I54" s="172">
        <v>2005</v>
      </c>
      <c r="J54" s="172">
        <v>2022</v>
      </c>
      <c r="K54" s="178">
        <v>17</v>
      </c>
      <c r="L54" s="193">
        <v>2022</v>
      </c>
      <c r="M54" s="188">
        <v>1398.7680375180375</v>
      </c>
    </row>
    <row r="55" spans="1:13" x14ac:dyDescent="0.3">
      <c r="A55" s="180" t="s">
        <v>153</v>
      </c>
      <c r="B55" s="181" t="s">
        <v>785</v>
      </c>
      <c r="C55" s="181"/>
      <c r="D55" s="181" t="s">
        <v>163</v>
      </c>
      <c r="E55" s="158" t="s">
        <v>786</v>
      </c>
      <c r="F55" s="181">
        <v>119385</v>
      </c>
      <c r="G55" s="158" t="s">
        <v>211</v>
      </c>
      <c r="H55" s="189">
        <v>80</v>
      </c>
      <c r="I55" s="158">
        <v>2010</v>
      </c>
      <c r="J55" s="158">
        <v>2022</v>
      </c>
      <c r="K55" s="184">
        <v>12</v>
      </c>
      <c r="L55" s="193">
        <v>2022</v>
      </c>
      <c r="M55" s="190">
        <v>80</v>
      </c>
    </row>
    <row r="56" spans="1:13" x14ac:dyDescent="0.3">
      <c r="A56" s="174" t="s">
        <v>156</v>
      </c>
      <c r="B56" s="175"/>
      <c r="C56" s="175"/>
      <c r="D56" s="175" t="s">
        <v>163</v>
      </c>
      <c r="E56" s="172" t="s">
        <v>787</v>
      </c>
      <c r="F56" s="175">
        <v>118243</v>
      </c>
      <c r="G56" s="172" t="s">
        <v>229</v>
      </c>
      <c r="H56" s="191">
        <v>62</v>
      </c>
      <c r="I56" s="172">
        <v>2006</v>
      </c>
      <c r="J56" s="172">
        <v>2022</v>
      </c>
      <c r="K56" s="178">
        <v>16</v>
      </c>
      <c r="L56" s="193">
        <v>2022</v>
      </c>
      <c r="M56" s="188">
        <v>62</v>
      </c>
    </row>
    <row r="57" spans="1:13" x14ac:dyDescent="0.3">
      <c r="A57" s="180" t="s">
        <v>156</v>
      </c>
      <c r="B57" s="181" t="s">
        <v>731</v>
      </c>
      <c r="C57" s="181"/>
      <c r="D57" s="181" t="s">
        <v>734</v>
      </c>
      <c r="E57" s="158" t="s">
        <v>788</v>
      </c>
      <c r="F57" s="181">
        <v>114255</v>
      </c>
      <c r="G57" s="158" t="s">
        <v>206</v>
      </c>
      <c r="H57" s="189">
        <v>3332.6706349206338</v>
      </c>
      <c r="I57" s="158">
        <v>2003</v>
      </c>
      <c r="J57" s="158">
        <v>2022</v>
      </c>
      <c r="K57" s="184">
        <v>19</v>
      </c>
      <c r="L57" s="193">
        <v>2022</v>
      </c>
      <c r="M57" s="190">
        <v>3332.6706349206338</v>
      </c>
    </row>
    <row r="58" spans="1:13" x14ac:dyDescent="0.3">
      <c r="A58" s="174" t="s">
        <v>156</v>
      </c>
      <c r="B58" s="175" t="s">
        <v>731</v>
      </c>
      <c r="C58" s="175"/>
      <c r="D58" s="175" t="s">
        <v>163</v>
      </c>
      <c r="E58" s="172" t="s">
        <v>789</v>
      </c>
      <c r="F58" s="175">
        <v>120204</v>
      </c>
      <c r="G58" s="172" t="s">
        <v>185</v>
      </c>
      <c r="H58" s="191">
        <v>80.833333333333343</v>
      </c>
      <c r="I58" s="172">
        <v>2006</v>
      </c>
      <c r="J58" s="172">
        <v>2022</v>
      </c>
      <c r="K58" s="178">
        <v>16</v>
      </c>
      <c r="L58" s="193">
        <v>2022</v>
      </c>
      <c r="M58" s="188">
        <v>80.833333333333343</v>
      </c>
    </row>
    <row r="59" spans="1:13" x14ac:dyDescent="0.3">
      <c r="A59" s="180" t="s">
        <v>173</v>
      </c>
      <c r="B59" s="181" t="s">
        <v>731</v>
      </c>
      <c r="C59" s="181"/>
      <c r="D59" s="181" t="s">
        <v>163</v>
      </c>
      <c r="E59" s="158" t="s">
        <v>790</v>
      </c>
      <c r="F59" s="181">
        <v>119474</v>
      </c>
      <c r="G59" s="158" t="s">
        <v>791</v>
      </c>
      <c r="H59" s="189">
        <v>5</v>
      </c>
      <c r="I59" s="158">
        <v>2010</v>
      </c>
      <c r="J59" s="158">
        <v>2022</v>
      </c>
      <c r="K59" s="184">
        <v>12</v>
      </c>
      <c r="L59" s="193">
        <v>2022</v>
      </c>
      <c r="M59" s="190">
        <v>5</v>
      </c>
    </row>
    <row r="60" spans="1:13" x14ac:dyDescent="0.3">
      <c r="A60" s="174" t="s">
        <v>153</v>
      </c>
      <c r="B60" s="175" t="s">
        <v>731</v>
      </c>
      <c r="C60" s="175"/>
      <c r="D60" s="175" t="s">
        <v>163</v>
      </c>
      <c r="E60" s="172" t="s">
        <v>792</v>
      </c>
      <c r="F60" s="175">
        <v>119188</v>
      </c>
      <c r="G60" s="172" t="s">
        <v>181</v>
      </c>
      <c r="H60" s="191">
        <v>170.1010101010101</v>
      </c>
      <c r="I60" s="172">
        <v>2012</v>
      </c>
      <c r="J60" s="172">
        <v>2022</v>
      </c>
      <c r="K60" s="178">
        <v>10</v>
      </c>
      <c r="L60" s="193">
        <v>2022</v>
      </c>
      <c r="M60" s="188">
        <v>170.1010101010101</v>
      </c>
    </row>
    <row r="61" spans="1:13" x14ac:dyDescent="0.3">
      <c r="A61" s="180" t="s">
        <v>148</v>
      </c>
      <c r="B61" s="181" t="s">
        <v>731</v>
      </c>
      <c r="C61" s="181"/>
      <c r="D61" s="181" t="s">
        <v>163</v>
      </c>
      <c r="E61" s="158" t="s">
        <v>793</v>
      </c>
      <c r="F61" s="181">
        <v>116964</v>
      </c>
      <c r="G61" s="158" t="s">
        <v>152</v>
      </c>
      <c r="H61" s="189">
        <v>136</v>
      </c>
      <c r="I61" s="158">
        <v>2006</v>
      </c>
      <c r="J61" s="158">
        <v>2022</v>
      </c>
      <c r="K61" s="184">
        <v>16</v>
      </c>
      <c r="L61" s="193">
        <v>2022</v>
      </c>
      <c r="M61" s="190">
        <v>136</v>
      </c>
    </row>
    <row r="62" spans="1:13" x14ac:dyDescent="0.3">
      <c r="A62" s="174" t="s">
        <v>173</v>
      </c>
      <c r="B62" s="175" t="s">
        <v>731</v>
      </c>
      <c r="C62" s="175"/>
      <c r="D62" s="175" t="s">
        <v>163</v>
      </c>
      <c r="E62" s="172" t="s">
        <v>794</v>
      </c>
      <c r="F62" s="175">
        <v>118847</v>
      </c>
      <c r="G62" s="172" t="s">
        <v>692</v>
      </c>
      <c r="H62" s="191">
        <v>207.11111111111109</v>
      </c>
      <c r="I62" s="172">
        <v>2010</v>
      </c>
      <c r="J62" s="172">
        <v>2022</v>
      </c>
      <c r="K62" s="178">
        <v>12</v>
      </c>
      <c r="L62" s="193">
        <v>2022</v>
      </c>
      <c r="M62" s="188">
        <v>207.11111111111109</v>
      </c>
    </row>
    <row r="63" spans="1:13" x14ac:dyDescent="0.3">
      <c r="A63" s="180" t="s">
        <v>156</v>
      </c>
      <c r="B63" s="181" t="s">
        <v>731</v>
      </c>
      <c r="C63" s="181"/>
      <c r="D63" s="181" t="s">
        <v>163</v>
      </c>
      <c r="E63" s="158" t="s">
        <v>795</v>
      </c>
      <c r="F63" s="181">
        <v>116634</v>
      </c>
      <c r="G63" s="158" t="s">
        <v>181</v>
      </c>
      <c r="H63" s="189">
        <v>2068.4126984126983</v>
      </c>
      <c r="I63" s="158">
        <v>2006</v>
      </c>
      <c r="J63" s="158">
        <v>2022</v>
      </c>
      <c r="K63" s="184">
        <v>16</v>
      </c>
      <c r="L63" s="193">
        <v>2022</v>
      </c>
      <c r="M63" s="190">
        <v>2068.4126984126983</v>
      </c>
    </row>
    <row r="64" spans="1:13" x14ac:dyDescent="0.3">
      <c r="A64" s="174" t="s">
        <v>153</v>
      </c>
      <c r="B64" s="175" t="s">
        <v>731</v>
      </c>
      <c r="C64" s="175"/>
      <c r="D64" s="175" t="s">
        <v>163</v>
      </c>
      <c r="E64" s="172" t="s">
        <v>796</v>
      </c>
      <c r="F64" s="175">
        <v>118820</v>
      </c>
      <c r="G64" s="172" t="s">
        <v>211</v>
      </c>
      <c r="H64" s="191">
        <v>265.6150793650794</v>
      </c>
      <c r="I64" s="172">
        <v>2010</v>
      </c>
      <c r="J64" s="172">
        <v>2022</v>
      </c>
      <c r="K64" s="178">
        <v>12</v>
      </c>
      <c r="L64" s="193">
        <v>2022</v>
      </c>
      <c r="M64" s="188">
        <v>265.6150793650794</v>
      </c>
    </row>
    <row r="65" spans="1:13" x14ac:dyDescent="0.3">
      <c r="A65" s="180" t="s">
        <v>190</v>
      </c>
      <c r="B65" s="181" t="s">
        <v>731</v>
      </c>
      <c r="C65" s="181"/>
      <c r="D65" s="181" t="s">
        <v>163</v>
      </c>
      <c r="E65" s="158" t="s">
        <v>797</v>
      </c>
      <c r="F65" s="181">
        <v>119330</v>
      </c>
      <c r="G65" s="158" t="s">
        <v>206</v>
      </c>
      <c r="H65" s="189">
        <v>148</v>
      </c>
      <c r="I65" s="158">
        <v>2011</v>
      </c>
      <c r="J65" s="158">
        <v>2022</v>
      </c>
      <c r="K65" s="184">
        <v>11</v>
      </c>
      <c r="L65" s="193">
        <v>2022</v>
      </c>
      <c r="M65" s="190">
        <v>148</v>
      </c>
    </row>
    <row r="66" spans="1:13" x14ac:dyDescent="0.3">
      <c r="A66" s="180" t="s">
        <v>156</v>
      </c>
      <c r="B66" s="181" t="s">
        <v>731</v>
      </c>
      <c r="C66" s="181"/>
      <c r="D66" s="181" t="s">
        <v>163</v>
      </c>
      <c r="E66" s="158" t="s">
        <v>798</v>
      </c>
      <c r="F66" s="181">
        <v>116727</v>
      </c>
      <c r="G66" s="182" t="s">
        <v>162</v>
      </c>
      <c r="H66" s="183">
        <f>Tabel2[[#This Row],[pnt t/m 2021/22]]+Tabel2[[#This Row],[pnt 2022/2023]]</f>
        <v>87.5</v>
      </c>
      <c r="I66" s="158">
        <v>2006</v>
      </c>
      <c r="J66" s="205">
        <v>2022</v>
      </c>
      <c r="K66" s="184">
        <v>16</v>
      </c>
      <c r="L66" s="194">
        <v>2023</v>
      </c>
      <c r="M66" s="206">
        <v>305</v>
      </c>
    </row>
    <row r="67" spans="1:13" x14ac:dyDescent="0.3">
      <c r="A67" s="180" t="s">
        <v>148</v>
      </c>
      <c r="B67" s="181" t="s">
        <v>731</v>
      </c>
      <c r="C67" s="181">
        <v>168</v>
      </c>
      <c r="D67" s="181" t="s">
        <v>163</v>
      </c>
      <c r="E67" s="158" t="s">
        <v>799</v>
      </c>
      <c r="F67" s="181">
        <v>116758</v>
      </c>
      <c r="G67" s="182" t="s">
        <v>800</v>
      </c>
      <c r="H67" s="189">
        <f>Tabel2[[#This Row],[pnt t/m 2021/22]]+Tabel2[[#This Row],[pnt 2022/2023]]</f>
        <v>21.25</v>
      </c>
      <c r="I67" s="158">
        <v>2007</v>
      </c>
      <c r="J67" s="158">
        <v>2023</v>
      </c>
      <c r="K67" s="184">
        <v>14</v>
      </c>
      <c r="L67" s="207">
        <v>2023</v>
      </c>
      <c r="M67" s="190">
        <v>2715.181818181818</v>
      </c>
    </row>
  </sheetData>
  <conditionalFormatting sqref="D2:D67">
    <cfRule type="containsText" dxfId="23" priority="1" operator="containsText" text="achterstallig">
      <formula>NOT(ISERROR(SEARCH("achterstallig",D2)))</formula>
    </cfRule>
    <cfRule type="containsText" dxfId="22" priority="2" operator="containsText" text="deels">
      <formula>NOT(ISERROR(SEARCH("deels",D2)))</formula>
    </cfRule>
    <cfRule type="containsText" dxfId="21" priority="3" operator="containsText" text="abonnement">
      <formula>NOT(ISERROR(SEARCH("abonnement",D2)))</formula>
    </cfRule>
  </conditionalFormatting>
  <conditionalFormatting sqref="F2:F39 F42:F57 F59:F60">
    <cfRule type="cellIs" dxfId="20" priority="21" operator="lessThan">
      <formula>1</formula>
    </cfRule>
  </conditionalFormatting>
  <conditionalFormatting sqref="F66:F67">
    <cfRule type="cellIs" dxfId="19" priority="4" operator="lessThan">
      <formula>1</formula>
    </cfRule>
  </conditionalFormatting>
  <conditionalFormatting sqref="I2:I60">
    <cfRule type="cellIs" dxfId="18" priority="22" operator="lessThan">
      <formula>1990</formula>
    </cfRule>
  </conditionalFormatting>
  <conditionalFormatting sqref="I30">
    <cfRule type="cellIs" dxfId="17" priority="17" operator="lessThan">
      <formula>2000</formula>
    </cfRule>
  </conditionalFormatting>
  <conditionalFormatting sqref="I38">
    <cfRule type="cellIs" dxfId="16" priority="16" operator="lessThan">
      <formula>2000</formula>
    </cfRule>
  </conditionalFormatting>
  <conditionalFormatting sqref="I40:I42">
    <cfRule type="cellIs" dxfId="15" priority="15" operator="lessThan">
      <formula>2000</formula>
    </cfRule>
  </conditionalFormatting>
  <conditionalFormatting sqref="I66:I67">
    <cfRule type="cellIs" dxfId="14" priority="5" operator="lessThan">
      <formula>1990</formula>
    </cfRule>
  </conditionalFormatting>
  <conditionalFormatting sqref="K2:K67">
    <cfRule type="cellIs" dxfId="13" priority="6" operator="greaterThan">
      <formula>2000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Aantallen</vt:lpstr>
      <vt:lpstr>Deelnemers</vt:lpstr>
      <vt:lpstr>Poulestaten</vt:lpstr>
      <vt:lpstr>Scheidsrechters</vt:lpstr>
      <vt:lpstr>Controle materiaal</vt:lpstr>
      <vt:lpstr>vm deelnemers 2023</vt:lpstr>
      <vt:lpstr>Poulestaten!Afdrukbereik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Sjoerd Jaarsma</dc:creator>
  <cp:keywords/>
  <dc:description/>
  <cp:lastModifiedBy>Sjoerd Jaarsma</cp:lastModifiedBy>
  <cp:revision/>
  <dcterms:created xsi:type="dcterms:W3CDTF">2022-07-25T11:08:30Z</dcterms:created>
  <dcterms:modified xsi:type="dcterms:W3CDTF">2023-11-19T15:13:54Z</dcterms:modified>
  <cp:category/>
  <cp:contentStatus/>
</cp:coreProperties>
</file>